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filterPrivacy="1"/>
  <xr:revisionPtr revIDLastSave="0" documentId="13_ncr:1_{5BBBB068-5454-4B4C-BB83-9D241A432B1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Products" sheetId="6" r:id="rId1"/>
    <sheet name="SalesbyMonth" sheetId="7" r:id="rId2"/>
    <sheet name="RestaurantbyState" sheetId="12" r:id="rId3"/>
    <sheet name="TargetSales" sheetId="11" r:id="rId4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1" i="11" l="1"/>
  <c r="J321" i="11"/>
  <c r="J400" i="11"/>
  <c r="J416" i="11"/>
  <c r="J450" i="11"/>
  <c r="H451" i="11"/>
  <c r="J451" i="11" s="1"/>
  <c r="H450" i="11"/>
  <c r="H447" i="11"/>
  <c r="J447" i="11" s="1"/>
  <c r="H446" i="11"/>
  <c r="J446" i="11" s="1"/>
  <c r="H445" i="11"/>
  <c r="J445" i="11" s="1"/>
  <c r="H442" i="11"/>
  <c r="J442" i="11" s="1"/>
  <c r="H441" i="11"/>
  <c r="J441" i="11" s="1"/>
  <c r="H440" i="11"/>
  <c r="J440" i="11" s="1"/>
  <c r="H437" i="11"/>
  <c r="J437" i="11" s="1"/>
  <c r="H435" i="11"/>
  <c r="J435" i="11" s="1"/>
  <c r="H433" i="11"/>
  <c r="J433" i="11" s="1"/>
  <c r="H432" i="11"/>
  <c r="J432" i="11" s="1"/>
  <c r="H431" i="11"/>
  <c r="J431" i="11" s="1"/>
  <c r="H429" i="11"/>
  <c r="J429" i="11" s="1"/>
  <c r="H428" i="11"/>
  <c r="J428" i="11" s="1"/>
  <c r="H427" i="11"/>
  <c r="J427" i="11" s="1"/>
  <c r="H426" i="11"/>
  <c r="J426" i="11" s="1"/>
  <c r="H425" i="11"/>
  <c r="J425" i="11" s="1"/>
  <c r="H420" i="11"/>
  <c r="J420" i="11" s="1"/>
  <c r="H415" i="11"/>
  <c r="J415" i="11" s="1"/>
  <c r="H414" i="11"/>
  <c r="J414" i="11" s="1"/>
  <c r="H413" i="11"/>
  <c r="J413" i="11" s="1"/>
  <c r="H411" i="11"/>
  <c r="J411" i="11" s="1"/>
  <c r="H410" i="11"/>
  <c r="J410" i="11" s="1"/>
  <c r="H409" i="11"/>
  <c r="J409" i="11" s="1"/>
  <c r="H406" i="11"/>
  <c r="J406" i="11" s="1"/>
  <c r="H405" i="11"/>
  <c r="J405" i="11" s="1"/>
  <c r="H404" i="11"/>
  <c r="J404" i="11" s="1"/>
  <c r="H401" i="11"/>
  <c r="J401" i="11" s="1"/>
  <c r="H399" i="11"/>
  <c r="J399" i="11" s="1"/>
  <c r="H397" i="11"/>
  <c r="J397" i="11" s="1"/>
  <c r="H392" i="11"/>
  <c r="J392" i="11" s="1"/>
  <c r="H388" i="11"/>
  <c r="J388" i="11" s="1"/>
  <c r="H387" i="11"/>
  <c r="J387" i="11" s="1"/>
  <c r="H384" i="11"/>
  <c r="J384" i="11" s="1"/>
  <c r="H383" i="11"/>
  <c r="J383" i="11" s="1"/>
  <c r="H382" i="11"/>
  <c r="J382" i="11" s="1"/>
  <c r="H381" i="11"/>
  <c r="J381" i="11" s="1"/>
  <c r="H379" i="11"/>
  <c r="J379" i="11" s="1"/>
  <c r="H377" i="11"/>
  <c r="J377" i="11" s="1"/>
  <c r="H375" i="11"/>
  <c r="J375" i="11" s="1"/>
  <c r="H374" i="11"/>
  <c r="J374" i="11" s="1"/>
  <c r="H372" i="11"/>
  <c r="J372" i="11" s="1"/>
  <c r="H370" i="11"/>
  <c r="J370" i="11" s="1"/>
  <c r="H365" i="11"/>
  <c r="J365" i="11" s="1"/>
  <c r="H364" i="11"/>
  <c r="J364" i="11" s="1"/>
  <c r="H360" i="11"/>
  <c r="J360" i="11" s="1"/>
  <c r="H357" i="11"/>
  <c r="J357" i="11" s="1"/>
  <c r="H356" i="11"/>
  <c r="J356" i="11" s="1"/>
  <c r="H352" i="11"/>
  <c r="J352" i="11" s="1"/>
  <c r="H350" i="11"/>
  <c r="J350" i="11" s="1"/>
  <c r="H348" i="11"/>
  <c r="J348" i="11" s="1"/>
  <c r="H347" i="11"/>
  <c r="J347" i="11" s="1"/>
  <c r="H345" i="11"/>
  <c r="J345" i="11" s="1"/>
  <c r="H343" i="11"/>
  <c r="J343" i="11" s="1"/>
  <c r="H342" i="11"/>
  <c r="J342" i="11" s="1"/>
  <c r="H341" i="11"/>
  <c r="J341" i="11" s="1"/>
  <c r="H339" i="11"/>
  <c r="J339" i="11" s="1"/>
  <c r="H337" i="11"/>
  <c r="J337" i="11" s="1"/>
  <c r="H336" i="11"/>
  <c r="J336" i="11" s="1"/>
  <c r="H334" i="11"/>
  <c r="J334" i="11" s="1"/>
  <c r="H329" i="11"/>
  <c r="J329" i="11" s="1"/>
  <c r="H327" i="11"/>
  <c r="J327" i="11" s="1"/>
  <c r="H324" i="11"/>
  <c r="J324" i="11" s="1"/>
  <c r="H319" i="11"/>
  <c r="J319" i="11" s="1"/>
  <c r="H318" i="11"/>
  <c r="J318" i="11" s="1"/>
  <c r="H314" i="11"/>
  <c r="J314" i="11" s="1"/>
  <c r="H311" i="11"/>
  <c r="J311" i="11" s="1"/>
  <c r="H309" i="11"/>
  <c r="J309" i="11" s="1"/>
  <c r="H298" i="11"/>
  <c r="J298" i="11" s="1"/>
  <c r="H297" i="11"/>
  <c r="J297" i="11" s="1"/>
  <c r="H296" i="11"/>
  <c r="J296" i="11" s="1"/>
  <c r="H291" i="11"/>
  <c r="J291" i="11" s="1"/>
  <c r="H288" i="11"/>
  <c r="J288" i="11" s="1"/>
  <c r="H287" i="11"/>
  <c r="J287" i="11" s="1"/>
  <c r="H286" i="11"/>
  <c r="J286" i="11" s="1"/>
  <c r="H285" i="11"/>
  <c r="J285" i="11" s="1"/>
  <c r="H283" i="11"/>
  <c r="J283" i="11" s="1"/>
  <c r="H279" i="11"/>
  <c r="J279" i="11" s="1"/>
  <c r="H278" i="11"/>
  <c r="J278" i="11" s="1"/>
  <c r="H276" i="11"/>
  <c r="J276" i="11" s="1"/>
  <c r="H261" i="11"/>
  <c r="J261" i="11" s="1"/>
  <c r="H258" i="11"/>
  <c r="J258" i="11" s="1"/>
  <c r="H256" i="11"/>
  <c r="J256" i="11" s="1"/>
  <c r="H251" i="11"/>
  <c r="J251" i="11" s="1"/>
  <c r="H249" i="11"/>
  <c r="J249" i="11" s="1"/>
  <c r="H244" i="11"/>
  <c r="J244" i="11" s="1"/>
  <c r="H243" i="11"/>
  <c r="J243" i="11" s="1"/>
  <c r="H242" i="11"/>
  <c r="J242" i="11" s="1"/>
  <c r="H238" i="11"/>
  <c r="J238" i="11" s="1"/>
  <c r="H235" i="11"/>
  <c r="J235" i="11" s="1"/>
  <c r="H233" i="11"/>
  <c r="J233" i="11" s="1"/>
  <c r="H229" i="11"/>
  <c r="J229" i="11" s="1"/>
  <c r="H228" i="11"/>
  <c r="J228" i="11" s="1"/>
  <c r="H227" i="11"/>
  <c r="J227" i="11" s="1"/>
  <c r="H225" i="11"/>
  <c r="J225" i="11" s="1"/>
  <c r="H222" i="11"/>
  <c r="J222" i="11" s="1"/>
  <c r="H217" i="11"/>
  <c r="J217" i="11" s="1"/>
  <c r="H216" i="11"/>
  <c r="J216" i="11" s="1"/>
  <c r="H213" i="11"/>
  <c r="J213" i="11" s="1"/>
  <c r="H208" i="11"/>
  <c r="J208" i="11" s="1"/>
  <c r="H199" i="11"/>
  <c r="J199" i="11" s="1"/>
  <c r="H197" i="11"/>
  <c r="J197" i="11" s="1"/>
  <c r="H195" i="11"/>
  <c r="J195" i="11" s="1"/>
  <c r="H196" i="11"/>
  <c r="J196" i="11" s="1"/>
  <c r="H194" i="11"/>
  <c r="J194" i="11" s="1"/>
  <c r="H193" i="11"/>
  <c r="J193" i="11" s="1"/>
  <c r="H192" i="11"/>
  <c r="J192" i="11" s="1"/>
  <c r="H189" i="11"/>
  <c r="J189" i="11" s="1"/>
  <c r="H184" i="11"/>
  <c r="J184" i="11" s="1"/>
  <c r="H180" i="11"/>
  <c r="J180" i="11" s="1"/>
  <c r="H181" i="11"/>
  <c r="J181" i="11" s="1"/>
  <c r="H176" i="11"/>
  <c r="J176" i="11" s="1"/>
  <c r="H172" i="11"/>
  <c r="J172" i="11" s="1"/>
  <c r="H171" i="11"/>
  <c r="J171" i="11" s="1"/>
  <c r="H170" i="11"/>
  <c r="J170" i="11" s="1"/>
  <c r="H161" i="11"/>
  <c r="J161" i="11" s="1"/>
  <c r="H159" i="11"/>
  <c r="J159" i="11" s="1"/>
  <c r="H158" i="11"/>
  <c r="J158" i="11" s="1"/>
  <c r="H123" i="11"/>
  <c r="J123" i="11" s="1"/>
  <c r="H122" i="11"/>
  <c r="J122" i="11" s="1"/>
  <c r="H118" i="11"/>
  <c r="J118" i="11" s="1"/>
  <c r="H113" i="11"/>
  <c r="J113" i="11" s="1"/>
  <c r="H112" i="11"/>
  <c r="J112" i="11" s="1"/>
  <c r="H109" i="11"/>
  <c r="J109" i="11" s="1"/>
  <c r="H108" i="11"/>
  <c r="J108" i="11" s="1"/>
  <c r="H101" i="11"/>
  <c r="J101" i="11" s="1"/>
  <c r="H100" i="11"/>
  <c r="J100" i="11" s="1"/>
  <c r="H99" i="11"/>
  <c r="J99" i="11" s="1"/>
  <c r="H96" i="11"/>
  <c r="J96" i="11" s="1"/>
  <c r="H94" i="11"/>
  <c r="J94" i="11" s="1"/>
  <c r="H90" i="11"/>
  <c r="J90" i="11" s="1"/>
  <c r="H91" i="11"/>
  <c r="J91" i="11" s="1"/>
  <c r="H89" i="11"/>
  <c r="J89" i="11" s="1"/>
  <c r="H87" i="11"/>
  <c r="J87" i="11" s="1"/>
  <c r="H86" i="11"/>
  <c r="J86" i="11" s="1"/>
  <c r="H85" i="11"/>
  <c r="J85" i="11" s="1"/>
  <c r="H84" i="11"/>
  <c r="J84" i="11" s="1"/>
  <c r="H82" i="11"/>
  <c r="J82" i="11" s="1"/>
  <c r="H77" i="11"/>
  <c r="J77" i="11" s="1"/>
  <c r="H75" i="11"/>
  <c r="J75" i="11" s="1"/>
  <c r="H64" i="11"/>
  <c r="J64" i="11" s="1"/>
  <c r="H63" i="11"/>
  <c r="J63" i="11" s="1"/>
  <c r="H62" i="11"/>
  <c r="J62" i="11" s="1"/>
  <c r="H57" i="11"/>
  <c r="J57" i="11" s="1"/>
  <c r="H54" i="11"/>
  <c r="J54" i="11" s="1"/>
  <c r="H51" i="11"/>
  <c r="J51" i="11" s="1"/>
  <c r="H48" i="11"/>
  <c r="J48" i="11" s="1"/>
  <c r="H46" i="11"/>
  <c r="J46" i="11" s="1"/>
  <c r="H45" i="11"/>
  <c r="J45" i="11" s="1"/>
  <c r="H42" i="11"/>
  <c r="J42" i="11" s="1"/>
  <c r="H39" i="11"/>
  <c r="J39" i="11" s="1"/>
  <c r="H37" i="11"/>
  <c r="J37" i="11" s="1"/>
  <c r="H36" i="11"/>
  <c r="J36" i="11" s="1"/>
  <c r="H28" i="11"/>
  <c r="J28" i="11" s="1"/>
  <c r="H25" i="11"/>
  <c r="J25" i="11" s="1"/>
  <c r="H23" i="11"/>
  <c r="J23" i="11" s="1"/>
  <c r="H21" i="11"/>
  <c r="J21" i="11" s="1"/>
  <c r="H18" i="11"/>
  <c r="J18" i="11" s="1"/>
  <c r="H12" i="11"/>
  <c r="J12" i="11" s="1"/>
  <c r="H5" i="11"/>
  <c r="J5" i="11" s="1"/>
  <c r="H4" i="11"/>
  <c r="J4" i="11" s="1"/>
  <c r="H3" i="11"/>
  <c r="J3" i="11" s="1"/>
  <c r="H2" i="11"/>
  <c r="J2" i="11" s="1"/>
  <c r="H7" i="11"/>
  <c r="J7" i="11" s="1"/>
  <c r="H449" i="11"/>
  <c r="J449" i="11" s="1"/>
  <c r="H448" i="11"/>
  <c r="J448" i="11" s="1"/>
  <c r="H444" i="11"/>
  <c r="J444" i="11" s="1"/>
  <c r="H443" i="11"/>
  <c r="J443" i="11" s="1"/>
  <c r="H439" i="11"/>
  <c r="J439" i="11" s="1"/>
  <c r="H438" i="11"/>
  <c r="J438" i="11" s="1"/>
  <c r="H436" i="11"/>
  <c r="J436" i="11" s="1"/>
  <c r="H434" i="11"/>
  <c r="J434" i="11" s="1"/>
  <c r="H430" i="11"/>
  <c r="J430" i="11" s="1"/>
  <c r="H424" i="11"/>
  <c r="J424" i="11" s="1"/>
  <c r="H423" i="11"/>
  <c r="J423" i="11" s="1"/>
  <c r="H422" i="11"/>
  <c r="J422" i="11" s="1"/>
  <c r="H421" i="11"/>
  <c r="J421" i="11" s="1"/>
  <c r="H419" i="11"/>
  <c r="J419" i="11" s="1"/>
  <c r="H418" i="11"/>
  <c r="J418" i="11" s="1"/>
  <c r="H417" i="11"/>
  <c r="J417" i="11" s="1"/>
  <c r="H416" i="11"/>
  <c r="H412" i="11"/>
  <c r="J412" i="11" s="1"/>
  <c r="H408" i="11"/>
  <c r="J408" i="11" s="1"/>
  <c r="H407" i="11"/>
  <c r="J407" i="11" s="1"/>
  <c r="H403" i="11"/>
  <c r="J403" i="11" s="1"/>
  <c r="H402" i="11"/>
  <c r="J402" i="11" s="1"/>
  <c r="H400" i="11"/>
  <c r="H398" i="11"/>
  <c r="J398" i="11" s="1"/>
  <c r="H396" i="11"/>
  <c r="J396" i="11" s="1"/>
  <c r="H395" i="11"/>
  <c r="J395" i="11" s="1"/>
  <c r="H394" i="11"/>
  <c r="J394" i="11" s="1"/>
  <c r="H393" i="11"/>
  <c r="J393" i="11" s="1"/>
  <c r="H391" i="11"/>
  <c r="J391" i="11" s="1"/>
  <c r="H390" i="11"/>
  <c r="J390" i="11" s="1"/>
  <c r="H389" i="11"/>
  <c r="J389" i="11" s="1"/>
  <c r="H386" i="11"/>
  <c r="J386" i="11" s="1"/>
  <c r="H385" i="11"/>
  <c r="J385" i="11" s="1"/>
  <c r="H380" i="11"/>
  <c r="J380" i="11" s="1"/>
  <c r="H378" i="11"/>
  <c r="J378" i="11" s="1"/>
  <c r="H376" i="11"/>
  <c r="J376" i="11" s="1"/>
  <c r="H373" i="11"/>
  <c r="J373" i="11" s="1"/>
  <c r="H371" i="11"/>
  <c r="J371" i="11" s="1"/>
  <c r="H369" i="11"/>
  <c r="J369" i="11" s="1"/>
  <c r="H368" i="11"/>
  <c r="J368" i="11" s="1"/>
  <c r="H367" i="11"/>
  <c r="J367" i="11" s="1"/>
  <c r="H366" i="11"/>
  <c r="J366" i="11" s="1"/>
  <c r="H363" i="11"/>
  <c r="J363" i="11" s="1"/>
  <c r="H362" i="11"/>
  <c r="J362" i="11" s="1"/>
  <c r="H361" i="11"/>
  <c r="J361" i="11" s="1"/>
  <c r="H359" i="11"/>
  <c r="J359" i="11" s="1"/>
  <c r="H358" i="11"/>
  <c r="J358" i="11" s="1"/>
  <c r="H355" i="11"/>
  <c r="J355" i="11" s="1"/>
  <c r="H354" i="11"/>
  <c r="J354" i="11" s="1"/>
  <c r="H353" i="11"/>
  <c r="J353" i="11" s="1"/>
  <c r="H351" i="11"/>
  <c r="J351" i="11" s="1"/>
  <c r="H349" i="11"/>
  <c r="J349" i="11" s="1"/>
  <c r="H346" i="11"/>
  <c r="J346" i="11" s="1"/>
  <c r="H344" i="11"/>
  <c r="J344" i="11" s="1"/>
  <c r="H340" i="11"/>
  <c r="J340" i="11" s="1"/>
  <c r="H338" i="11"/>
  <c r="J338" i="11" s="1"/>
  <c r="H335" i="11"/>
  <c r="J335" i="11" s="1"/>
  <c r="H333" i="11"/>
  <c r="J333" i="11" s="1"/>
  <c r="H332" i="11"/>
  <c r="J332" i="11" s="1"/>
  <c r="H331" i="11"/>
  <c r="J331" i="11" s="1"/>
  <c r="H330" i="11"/>
  <c r="J330" i="11" s="1"/>
  <c r="H328" i="11"/>
  <c r="J328" i="11" s="1"/>
  <c r="H326" i="11"/>
  <c r="J326" i="11" s="1"/>
  <c r="H325" i="11"/>
  <c r="J325" i="11" s="1"/>
  <c r="H323" i="11"/>
  <c r="J323" i="11" s="1"/>
  <c r="H322" i="11"/>
  <c r="J322" i="11" s="1"/>
  <c r="H321" i="11"/>
  <c r="H320" i="11"/>
  <c r="J320" i="11" s="1"/>
  <c r="H317" i="11"/>
  <c r="J317" i="11" s="1"/>
  <c r="H316" i="11"/>
  <c r="J316" i="11" s="1"/>
  <c r="H315" i="11"/>
  <c r="J315" i="11" s="1"/>
  <c r="H313" i="11"/>
  <c r="J313" i="11" s="1"/>
  <c r="H312" i="11"/>
  <c r="J312" i="11" s="1"/>
  <c r="H310" i="11"/>
  <c r="J310" i="11" s="1"/>
  <c r="H308" i="11"/>
  <c r="J308" i="11" s="1"/>
  <c r="H307" i="11"/>
  <c r="J307" i="11" s="1"/>
  <c r="H306" i="11"/>
  <c r="J306" i="11" s="1"/>
  <c r="H305" i="11"/>
  <c r="J305" i="11" s="1"/>
  <c r="H304" i="11"/>
  <c r="J304" i="11" s="1"/>
  <c r="H303" i="11"/>
  <c r="J303" i="11" s="1"/>
  <c r="H302" i="11"/>
  <c r="J302" i="11" s="1"/>
  <c r="H301" i="11"/>
  <c r="J301" i="11" s="1"/>
  <c r="H300" i="11"/>
  <c r="J300" i="11" s="1"/>
  <c r="H299" i="11"/>
  <c r="J299" i="11" s="1"/>
  <c r="H295" i="11"/>
  <c r="J295" i="11" s="1"/>
  <c r="H294" i="11"/>
  <c r="J294" i="11" s="1"/>
  <c r="H293" i="11"/>
  <c r="J293" i="11" s="1"/>
  <c r="H292" i="11"/>
  <c r="J292" i="11" s="1"/>
  <c r="H290" i="11"/>
  <c r="J290" i="11" s="1"/>
  <c r="H289" i="11"/>
  <c r="J289" i="11" s="1"/>
  <c r="H284" i="11"/>
  <c r="J284" i="11" s="1"/>
  <c r="H282" i="11"/>
  <c r="J282" i="11" s="1"/>
  <c r="H281" i="11"/>
  <c r="J281" i="11" s="1"/>
  <c r="H280" i="11"/>
  <c r="J280" i="11" s="1"/>
  <c r="H277" i="11"/>
  <c r="J277" i="11" s="1"/>
  <c r="H275" i="11"/>
  <c r="J275" i="11" s="1"/>
  <c r="H274" i="11"/>
  <c r="J274" i="11" s="1"/>
  <c r="H273" i="11"/>
  <c r="J273" i="11" s="1"/>
  <c r="H272" i="11"/>
  <c r="J272" i="11" s="1"/>
  <c r="H271" i="11"/>
  <c r="J271" i="11" s="1"/>
  <c r="H270" i="11"/>
  <c r="J270" i="11" s="1"/>
  <c r="H269" i="11"/>
  <c r="J269" i="11" s="1"/>
  <c r="H268" i="11"/>
  <c r="J268" i="11" s="1"/>
  <c r="H267" i="11"/>
  <c r="J267" i="11" s="1"/>
  <c r="H266" i="11"/>
  <c r="J266" i="11" s="1"/>
  <c r="H265" i="11"/>
  <c r="J265" i="11" s="1"/>
  <c r="H264" i="11"/>
  <c r="J264" i="11" s="1"/>
  <c r="H263" i="11"/>
  <c r="J263" i="11" s="1"/>
  <c r="H262" i="11"/>
  <c r="J262" i="11" s="1"/>
  <c r="H260" i="11"/>
  <c r="J260" i="11" s="1"/>
  <c r="H259" i="11"/>
  <c r="J259" i="11" s="1"/>
  <c r="H257" i="11"/>
  <c r="J257" i="11" s="1"/>
  <c r="H255" i="11"/>
  <c r="J255" i="11" s="1"/>
  <c r="H254" i="11"/>
  <c r="J254" i="11" s="1"/>
  <c r="H253" i="11"/>
  <c r="J253" i="11" s="1"/>
  <c r="H252" i="11"/>
  <c r="J252" i="11" s="1"/>
  <c r="H250" i="11"/>
  <c r="J250" i="11" s="1"/>
  <c r="H248" i="11"/>
  <c r="J248" i="11" s="1"/>
  <c r="H247" i="11"/>
  <c r="J247" i="11" s="1"/>
  <c r="H246" i="11"/>
  <c r="J246" i="11" s="1"/>
  <c r="H245" i="11"/>
  <c r="J245" i="11" s="1"/>
  <c r="H241" i="11"/>
  <c r="H240" i="11"/>
  <c r="J240" i="11" s="1"/>
  <c r="H239" i="11"/>
  <c r="J239" i="11" s="1"/>
  <c r="H237" i="11"/>
  <c r="J237" i="11" s="1"/>
  <c r="H236" i="11"/>
  <c r="J236" i="11" s="1"/>
  <c r="H234" i="11"/>
  <c r="J234" i="11" s="1"/>
  <c r="H232" i="11"/>
  <c r="J232" i="11" s="1"/>
  <c r="H231" i="11"/>
  <c r="J231" i="11" s="1"/>
  <c r="H230" i="11"/>
  <c r="J230" i="11" s="1"/>
  <c r="H226" i="11"/>
  <c r="J226" i="11" s="1"/>
  <c r="H224" i="11"/>
  <c r="J224" i="11" s="1"/>
  <c r="H223" i="11"/>
  <c r="J223" i="11" s="1"/>
  <c r="H221" i="11"/>
  <c r="J221" i="11" s="1"/>
  <c r="H220" i="11"/>
  <c r="J220" i="11" s="1"/>
  <c r="H219" i="11"/>
  <c r="J219" i="11" s="1"/>
  <c r="H218" i="11"/>
  <c r="J218" i="11" s="1"/>
  <c r="H215" i="11"/>
  <c r="J215" i="11" s="1"/>
  <c r="H214" i="11"/>
  <c r="J214" i="11" s="1"/>
  <c r="H212" i="11"/>
  <c r="J212" i="11" s="1"/>
  <c r="H211" i="11"/>
  <c r="J211" i="11" s="1"/>
  <c r="H210" i="11"/>
  <c r="J210" i="11" s="1"/>
  <c r="H209" i="11"/>
  <c r="J209" i="11" s="1"/>
  <c r="H207" i="11"/>
  <c r="J207" i="11" s="1"/>
  <c r="H206" i="11"/>
  <c r="J206" i="11" s="1"/>
  <c r="H205" i="11"/>
  <c r="J205" i="11" s="1"/>
  <c r="H204" i="11"/>
  <c r="J204" i="11" s="1"/>
  <c r="H203" i="11"/>
  <c r="J203" i="11" s="1"/>
  <c r="H202" i="11"/>
  <c r="J202" i="11" s="1"/>
  <c r="H201" i="11"/>
  <c r="J201" i="11" s="1"/>
  <c r="H200" i="11"/>
  <c r="J200" i="11" s="1"/>
  <c r="H198" i="11"/>
  <c r="J198" i="11" s="1"/>
  <c r="H191" i="11"/>
  <c r="J191" i="11" s="1"/>
  <c r="H190" i="11"/>
  <c r="J190" i="11" s="1"/>
  <c r="H188" i="11"/>
  <c r="J188" i="11" s="1"/>
  <c r="H187" i="11"/>
  <c r="J187" i="11" s="1"/>
  <c r="H186" i="11"/>
  <c r="J186" i="11" s="1"/>
  <c r="H185" i="11"/>
  <c r="J185" i="11" s="1"/>
  <c r="H183" i="11"/>
  <c r="J183" i="11" s="1"/>
  <c r="H182" i="11"/>
  <c r="J182" i="11" s="1"/>
  <c r="H179" i="11"/>
  <c r="J179" i="11" s="1"/>
  <c r="H178" i="11"/>
  <c r="J178" i="11" s="1"/>
  <c r="H177" i="11"/>
  <c r="J177" i="11" s="1"/>
  <c r="H175" i="11"/>
  <c r="J175" i="11" s="1"/>
  <c r="H174" i="11"/>
  <c r="J174" i="11" s="1"/>
  <c r="H173" i="11"/>
  <c r="J173" i="11" s="1"/>
  <c r="H169" i="11"/>
  <c r="J169" i="11" s="1"/>
  <c r="H168" i="11"/>
  <c r="J168" i="11" s="1"/>
  <c r="H167" i="11"/>
  <c r="J167" i="11" s="1"/>
  <c r="H166" i="11"/>
  <c r="J166" i="11" s="1"/>
  <c r="H165" i="11"/>
  <c r="J165" i="11" s="1"/>
  <c r="H164" i="11"/>
  <c r="J164" i="11" s="1"/>
  <c r="H163" i="11"/>
  <c r="J163" i="11" s="1"/>
  <c r="H162" i="11"/>
  <c r="J162" i="11" s="1"/>
  <c r="H160" i="11"/>
  <c r="J160" i="11" s="1"/>
  <c r="H157" i="11"/>
  <c r="J157" i="11" s="1"/>
  <c r="H156" i="11"/>
  <c r="J156" i="11" s="1"/>
  <c r="H155" i="11"/>
  <c r="J155" i="11" s="1"/>
  <c r="H154" i="11"/>
  <c r="J154" i="11" s="1"/>
  <c r="H153" i="11"/>
  <c r="J153" i="11" s="1"/>
  <c r="H152" i="11"/>
  <c r="J152" i="11" s="1"/>
  <c r="H151" i="11"/>
  <c r="J151" i="11" s="1"/>
  <c r="H150" i="11"/>
  <c r="J150" i="11" s="1"/>
  <c r="H149" i="11"/>
  <c r="J149" i="11" s="1"/>
  <c r="H148" i="11"/>
  <c r="J148" i="11" s="1"/>
  <c r="H147" i="11"/>
  <c r="J147" i="11" s="1"/>
  <c r="H146" i="11"/>
  <c r="J146" i="11" s="1"/>
  <c r="H145" i="11"/>
  <c r="J145" i="11" s="1"/>
  <c r="H144" i="11"/>
  <c r="J144" i="11" s="1"/>
  <c r="H143" i="11"/>
  <c r="J143" i="11" s="1"/>
  <c r="H142" i="11"/>
  <c r="J142" i="11" s="1"/>
  <c r="H141" i="11"/>
  <c r="J141" i="11" s="1"/>
  <c r="H140" i="11"/>
  <c r="J140" i="11" s="1"/>
  <c r="H139" i="11"/>
  <c r="J139" i="11" s="1"/>
  <c r="H138" i="11"/>
  <c r="J138" i="11" s="1"/>
  <c r="H137" i="11"/>
  <c r="J137" i="11" s="1"/>
  <c r="H136" i="11"/>
  <c r="J136" i="11" s="1"/>
  <c r="H135" i="11"/>
  <c r="J135" i="11" s="1"/>
  <c r="H134" i="11"/>
  <c r="J134" i="11" s="1"/>
  <c r="H133" i="11"/>
  <c r="J133" i="11" s="1"/>
  <c r="H132" i="11"/>
  <c r="J132" i="11" s="1"/>
  <c r="H131" i="11"/>
  <c r="J131" i="11" s="1"/>
  <c r="H130" i="11"/>
  <c r="J130" i="11" s="1"/>
  <c r="H129" i="11"/>
  <c r="J129" i="11" s="1"/>
  <c r="H128" i="11"/>
  <c r="J128" i="11" s="1"/>
  <c r="H127" i="11"/>
  <c r="J127" i="11" s="1"/>
  <c r="H126" i="11"/>
  <c r="J126" i="11" s="1"/>
  <c r="H125" i="11"/>
  <c r="J125" i="11" s="1"/>
  <c r="H124" i="11"/>
  <c r="J124" i="11" s="1"/>
  <c r="H121" i="11"/>
  <c r="J121" i="11" s="1"/>
  <c r="H120" i="11"/>
  <c r="J120" i="11" s="1"/>
  <c r="H119" i="11"/>
  <c r="J119" i="11" s="1"/>
  <c r="H117" i="11"/>
  <c r="J117" i="11" s="1"/>
  <c r="H116" i="11"/>
  <c r="J116" i="11" s="1"/>
  <c r="H115" i="11"/>
  <c r="J115" i="11" s="1"/>
  <c r="H114" i="11"/>
  <c r="J114" i="11" s="1"/>
  <c r="H111" i="11"/>
  <c r="J111" i="11" s="1"/>
  <c r="H110" i="11"/>
  <c r="J110" i="11" s="1"/>
  <c r="H107" i="11"/>
  <c r="J107" i="11" s="1"/>
  <c r="H106" i="11"/>
  <c r="J106" i="11" s="1"/>
  <c r="H105" i="11"/>
  <c r="J105" i="11" s="1"/>
  <c r="H104" i="11"/>
  <c r="J104" i="11" s="1"/>
  <c r="H103" i="11"/>
  <c r="J103" i="11" s="1"/>
  <c r="H102" i="11"/>
  <c r="J102" i="11" s="1"/>
  <c r="H98" i="11"/>
  <c r="J98" i="11" s="1"/>
  <c r="H97" i="11"/>
  <c r="J97" i="11" s="1"/>
  <c r="H95" i="11"/>
  <c r="J95" i="11" s="1"/>
  <c r="H93" i="11"/>
  <c r="J93" i="11" s="1"/>
  <c r="H92" i="11"/>
  <c r="J92" i="11" s="1"/>
  <c r="H88" i="11"/>
  <c r="J88" i="11" s="1"/>
  <c r="H83" i="11"/>
  <c r="J83" i="11" s="1"/>
  <c r="H81" i="11"/>
  <c r="J81" i="11" s="1"/>
  <c r="H80" i="11"/>
  <c r="J80" i="11" s="1"/>
  <c r="H79" i="11"/>
  <c r="J79" i="11" s="1"/>
  <c r="H78" i="11"/>
  <c r="J78" i="11" s="1"/>
  <c r="H76" i="11"/>
  <c r="J76" i="11" s="1"/>
  <c r="H74" i="11"/>
  <c r="J74" i="11" s="1"/>
  <c r="H73" i="11"/>
  <c r="J73" i="11" s="1"/>
  <c r="H72" i="11"/>
  <c r="J72" i="11" s="1"/>
  <c r="H71" i="11"/>
  <c r="J71" i="11" s="1"/>
  <c r="H70" i="11"/>
  <c r="J70" i="11" s="1"/>
  <c r="H69" i="11"/>
  <c r="J69" i="11" s="1"/>
  <c r="H68" i="11"/>
  <c r="J68" i="11" s="1"/>
  <c r="H67" i="11"/>
  <c r="J67" i="11" s="1"/>
  <c r="H66" i="11"/>
  <c r="J66" i="11" s="1"/>
  <c r="H65" i="11"/>
  <c r="J65" i="11" s="1"/>
  <c r="H61" i="11"/>
  <c r="J61" i="11" s="1"/>
  <c r="H60" i="11"/>
  <c r="J60" i="11" s="1"/>
  <c r="H59" i="11"/>
  <c r="J59" i="11" s="1"/>
  <c r="H58" i="11"/>
  <c r="J58" i="11" s="1"/>
  <c r="H56" i="11"/>
  <c r="J56" i="11" s="1"/>
  <c r="H55" i="11"/>
  <c r="J55" i="11" s="1"/>
  <c r="H53" i="11"/>
  <c r="J53" i="11" s="1"/>
  <c r="H52" i="11"/>
  <c r="J52" i="11" s="1"/>
  <c r="H50" i="11"/>
  <c r="J50" i="11" s="1"/>
  <c r="H49" i="11"/>
  <c r="J49" i="11" s="1"/>
  <c r="H47" i="11"/>
  <c r="J47" i="11" s="1"/>
  <c r="H44" i="11"/>
  <c r="J44" i="11" s="1"/>
  <c r="H43" i="11"/>
  <c r="J43" i="11" s="1"/>
  <c r="H41" i="11"/>
  <c r="J41" i="11" s="1"/>
  <c r="H40" i="11"/>
  <c r="J40" i="11" s="1"/>
  <c r="H38" i="11"/>
  <c r="J38" i="11" s="1"/>
  <c r="H35" i="11"/>
  <c r="J35" i="11" s="1"/>
  <c r="H34" i="11"/>
  <c r="J34" i="11" s="1"/>
  <c r="H33" i="11"/>
  <c r="J33" i="11" s="1"/>
  <c r="H32" i="11"/>
  <c r="J32" i="11" s="1"/>
  <c r="H31" i="11"/>
  <c r="J31" i="11" s="1"/>
  <c r="H30" i="11"/>
  <c r="J30" i="11" s="1"/>
  <c r="H29" i="11"/>
  <c r="J29" i="11" s="1"/>
  <c r="H27" i="11"/>
  <c r="J27" i="11" s="1"/>
  <c r="H26" i="11"/>
  <c r="J26" i="11" s="1"/>
  <c r="H24" i="11"/>
  <c r="J24" i="11" s="1"/>
  <c r="H22" i="11"/>
  <c r="J22" i="11" s="1"/>
  <c r="H20" i="11"/>
  <c r="J20" i="11" s="1"/>
  <c r="H19" i="11"/>
  <c r="J19" i="11" s="1"/>
  <c r="H17" i="11"/>
  <c r="J17" i="11" s="1"/>
  <c r="H16" i="11"/>
  <c r="J16" i="11" s="1"/>
  <c r="H15" i="11"/>
  <c r="J15" i="11" s="1"/>
  <c r="H14" i="11"/>
  <c r="J14" i="11" s="1"/>
  <c r="H13" i="11"/>
  <c r="J13" i="11" s="1"/>
  <c r="H11" i="11"/>
  <c r="J11" i="11" s="1"/>
  <c r="H10" i="11"/>
  <c r="J10" i="11" s="1"/>
  <c r="H9" i="11"/>
  <c r="J9" i="11" s="1"/>
  <c r="H8" i="11"/>
  <c r="J8" i="11" s="1"/>
  <c r="H6" i="11"/>
  <c r="J6" i="11" s="1"/>
  <c r="K2" i="12" l="1"/>
  <c r="K3" i="12"/>
  <c r="K4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J2" i="12"/>
  <c r="J3" i="12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I2" i="12"/>
  <c r="I3" i="12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451" i="11" l="1"/>
  <c r="G451" i="11"/>
  <c r="I450" i="11"/>
  <c r="G450" i="11"/>
  <c r="I449" i="11"/>
  <c r="G449" i="11"/>
  <c r="I448" i="11"/>
  <c r="G448" i="11"/>
  <c r="I447" i="11"/>
  <c r="G447" i="11"/>
  <c r="I446" i="11"/>
  <c r="G446" i="11"/>
  <c r="I445" i="11"/>
  <c r="G445" i="11"/>
  <c r="I444" i="11"/>
  <c r="G444" i="11"/>
  <c r="I443" i="11"/>
  <c r="G443" i="11"/>
  <c r="I442" i="11"/>
  <c r="G442" i="11"/>
  <c r="I441" i="11"/>
  <c r="G441" i="11"/>
  <c r="I440" i="11"/>
  <c r="G440" i="11"/>
  <c r="I439" i="11"/>
  <c r="G439" i="11"/>
  <c r="I438" i="11"/>
  <c r="G438" i="11"/>
  <c r="I437" i="11"/>
  <c r="G437" i="11"/>
  <c r="I436" i="11"/>
  <c r="G436" i="11"/>
  <c r="I435" i="11"/>
  <c r="G435" i="11"/>
  <c r="I434" i="11"/>
  <c r="G434" i="11"/>
  <c r="I433" i="11"/>
  <c r="G433" i="11"/>
  <c r="I432" i="11"/>
  <c r="G432" i="11"/>
  <c r="I431" i="11"/>
  <c r="G431" i="11"/>
  <c r="I430" i="11"/>
  <c r="G430" i="11"/>
  <c r="I429" i="11"/>
  <c r="G429" i="11"/>
  <c r="I428" i="11"/>
  <c r="G428" i="11"/>
  <c r="I427" i="11"/>
  <c r="G427" i="11"/>
  <c r="I426" i="11"/>
  <c r="G426" i="11"/>
  <c r="I425" i="11"/>
  <c r="G425" i="11"/>
  <c r="I424" i="11"/>
  <c r="G424" i="11"/>
  <c r="I423" i="11"/>
  <c r="G423" i="11"/>
  <c r="I422" i="11"/>
  <c r="G422" i="11"/>
  <c r="I421" i="11"/>
  <c r="G421" i="11"/>
  <c r="I420" i="11"/>
  <c r="G420" i="11"/>
  <c r="I419" i="11"/>
  <c r="G419" i="11"/>
  <c r="I418" i="11"/>
  <c r="G418" i="11"/>
  <c r="I417" i="11"/>
  <c r="G417" i="11"/>
  <c r="I416" i="11"/>
  <c r="G416" i="11"/>
  <c r="I415" i="11"/>
  <c r="G415" i="11"/>
  <c r="I414" i="11"/>
  <c r="G414" i="11"/>
  <c r="I413" i="11"/>
  <c r="G413" i="11"/>
  <c r="I412" i="11"/>
  <c r="G412" i="11"/>
  <c r="I411" i="11"/>
  <c r="G411" i="11"/>
  <c r="I410" i="11"/>
  <c r="G410" i="11"/>
  <c r="I409" i="11"/>
  <c r="G409" i="11"/>
  <c r="I408" i="11"/>
  <c r="G408" i="11"/>
  <c r="I407" i="11"/>
  <c r="G407" i="11"/>
  <c r="I406" i="11"/>
  <c r="G406" i="11"/>
  <c r="I405" i="11"/>
  <c r="G405" i="11"/>
  <c r="I404" i="11"/>
  <c r="G404" i="11"/>
  <c r="I403" i="11"/>
  <c r="G403" i="11"/>
  <c r="I402" i="11"/>
  <c r="G402" i="11"/>
  <c r="I401" i="11"/>
  <c r="G401" i="11"/>
  <c r="I400" i="11"/>
  <c r="G400" i="11"/>
  <c r="I399" i="11"/>
  <c r="G399" i="11"/>
  <c r="I398" i="11"/>
  <c r="G398" i="11"/>
  <c r="I397" i="11"/>
  <c r="G397" i="11"/>
  <c r="I396" i="11"/>
  <c r="G396" i="11"/>
  <c r="I395" i="11"/>
  <c r="G395" i="11"/>
  <c r="I394" i="11"/>
  <c r="G394" i="11"/>
  <c r="I393" i="11"/>
  <c r="G393" i="11"/>
  <c r="I392" i="11"/>
  <c r="G392" i="11"/>
  <c r="I391" i="11"/>
  <c r="G391" i="11"/>
  <c r="I390" i="11"/>
  <c r="G390" i="11"/>
  <c r="I389" i="11"/>
  <c r="G389" i="11"/>
  <c r="I388" i="11"/>
  <c r="G388" i="11"/>
  <c r="I387" i="11"/>
  <c r="G387" i="11"/>
  <c r="I386" i="11"/>
  <c r="G386" i="11"/>
  <c r="I385" i="11"/>
  <c r="G385" i="11"/>
  <c r="I384" i="11"/>
  <c r="G384" i="11"/>
  <c r="I383" i="11"/>
  <c r="G383" i="11"/>
  <c r="I382" i="11"/>
  <c r="G382" i="11"/>
  <c r="I381" i="11"/>
  <c r="G381" i="11"/>
  <c r="I380" i="11"/>
  <c r="G380" i="11"/>
  <c r="I379" i="11"/>
  <c r="G379" i="11"/>
  <c r="I378" i="11"/>
  <c r="G378" i="11"/>
  <c r="I377" i="11"/>
  <c r="G377" i="11"/>
  <c r="I376" i="11"/>
  <c r="G376" i="11"/>
  <c r="I375" i="11"/>
  <c r="G375" i="11"/>
  <c r="I374" i="11"/>
  <c r="G374" i="11"/>
  <c r="I373" i="11"/>
  <c r="G373" i="11"/>
  <c r="I372" i="11"/>
  <c r="G372" i="11"/>
  <c r="I371" i="11"/>
  <c r="G371" i="11"/>
  <c r="I370" i="11"/>
  <c r="G370" i="11"/>
  <c r="I369" i="11"/>
  <c r="G369" i="11"/>
  <c r="I368" i="11"/>
  <c r="G368" i="11"/>
  <c r="I367" i="11"/>
  <c r="G367" i="11"/>
  <c r="I366" i="11"/>
  <c r="G366" i="11"/>
  <c r="I365" i="11"/>
  <c r="G365" i="11"/>
  <c r="I364" i="11"/>
  <c r="G364" i="11"/>
  <c r="I363" i="11"/>
  <c r="G363" i="11"/>
  <c r="I362" i="11"/>
  <c r="G362" i="11"/>
  <c r="I361" i="11"/>
  <c r="G361" i="11"/>
  <c r="I360" i="11"/>
  <c r="G360" i="11"/>
  <c r="I359" i="11"/>
  <c r="G359" i="11"/>
  <c r="I358" i="11"/>
  <c r="G358" i="11"/>
  <c r="I357" i="11"/>
  <c r="G357" i="11"/>
  <c r="I356" i="11"/>
  <c r="G356" i="11"/>
  <c r="I355" i="11"/>
  <c r="G355" i="11"/>
  <c r="I354" i="11"/>
  <c r="G354" i="11"/>
  <c r="I353" i="11"/>
  <c r="G353" i="11"/>
  <c r="I352" i="11"/>
  <c r="G352" i="11"/>
  <c r="I351" i="11"/>
  <c r="G351" i="11"/>
  <c r="I350" i="11"/>
  <c r="G350" i="11"/>
  <c r="I349" i="11"/>
  <c r="G349" i="11"/>
  <c r="I348" i="11"/>
  <c r="G348" i="11"/>
  <c r="I347" i="11"/>
  <c r="G347" i="11"/>
  <c r="I346" i="11"/>
  <c r="G346" i="11"/>
  <c r="I345" i="11"/>
  <c r="G345" i="11"/>
  <c r="I344" i="11"/>
  <c r="G344" i="11"/>
  <c r="I343" i="11"/>
  <c r="G343" i="11"/>
  <c r="I342" i="11"/>
  <c r="G342" i="11"/>
  <c r="I341" i="11"/>
  <c r="G341" i="11"/>
  <c r="I340" i="11"/>
  <c r="G340" i="11"/>
  <c r="I339" i="11"/>
  <c r="G339" i="11"/>
  <c r="I338" i="11"/>
  <c r="G338" i="11"/>
  <c r="I337" i="11"/>
  <c r="G337" i="11"/>
  <c r="I336" i="11"/>
  <c r="G336" i="11"/>
  <c r="I335" i="11"/>
  <c r="G335" i="11"/>
  <c r="I334" i="11"/>
  <c r="G334" i="11"/>
  <c r="I333" i="11"/>
  <c r="G333" i="11"/>
  <c r="I332" i="11"/>
  <c r="G332" i="11"/>
  <c r="I331" i="11"/>
  <c r="G331" i="11"/>
  <c r="I330" i="11"/>
  <c r="G330" i="11"/>
  <c r="I329" i="11"/>
  <c r="G329" i="11"/>
  <c r="I328" i="11"/>
  <c r="G328" i="11"/>
  <c r="I327" i="11"/>
  <c r="G327" i="11"/>
  <c r="I326" i="11"/>
  <c r="G326" i="11"/>
  <c r="I325" i="11"/>
  <c r="G325" i="11"/>
  <c r="I324" i="11"/>
  <c r="G324" i="11"/>
  <c r="I323" i="11"/>
  <c r="G323" i="11"/>
  <c r="I322" i="11"/>
  <c r="G322" i="11"/>
  <c r="I321" i="11"/>
  <c r="G321" i="11"/>
  <c r="I320" i="11"/>
  <c r="G320" i="11"/>
  <c r="I319" i="11"/>
  <c r="G319" i="11"/>
  <c r="I318" i="11"/>
  <c r="G318" i="11"/>
  <c r="I317" i="11"/>
  <c r="G317" i="11"/>
  <c r="I316" i="11"/>
  <c r="G316" i="11"/>
  <c r="I315" i="11"/>
  <c r="G315" i="11"/>
  <c r="I314" i="11"/>
  <c r="G314" i="11"/>
  <c r="I313" i="11"/>
  <c r="G313" i="11"/>
  <c r="I312" i="11"/>
  <c r="G312" i="11"/>
  <c r="I311" i="11"/>
  <c r="G311" i="11"/>
  <c r="I310" i="11"/>
  <c r="G310" i="11"/>
  <c r="I309" i="11"/>
  <c r="G309" i="11"/>
  <c r="I308" i="11"/>
  <c r="G308" i="11"/>
  <c r="I307" i="11"/>
  <c r="G307" i="11"/>
  <c r="I306" i="11"/>
  <c r="G306" i="11"/>
  <c r="I305" i="11"/>
  <c r="G305" i="11"/>
  <c r="I304" i="11"/>
  <c r="G304" i="11"/>
  <c r="I303" i="11"/>
  <c r="G303" i="11"/>
  <c r="I302" i="11"/>
  <c r="G302" i="11"/>
  <c r="I301" i="11"/>
  <c r="G301" i="11"/>
  <c r="I300" i="11"/>
  <c r="G300" i="11"/>
  <c r="I299" i="11"/>
  <c r="G299" i="11"/>
  <c r="I298" i="11"/>
  <c r="G298" i="11"/>
  <c r="I297" i="11"/>
  <c r="G297" i="11"/>
  <c r="I296" i="11"/>
  <c r="G296" i="11"/>
  <c r="I295" i="11"/>
  <c r="G295" i="11"/>
  <c r="I294" i="11"/>
  <c r="G294" i="11"/>
  <c r="I293" i="11"/>
  <c r="G293" i="11"/>
  <c r="I292" i="11"/>
  <c r="G292" i="11"/>
  <c r="I291" i="11"/>
  <c r="G291" i="11"/>
  <c r="I290" i="11"/>
  <c r="G290" i="11"/>
  <c r="I289" i="11"/>
  <c r="G289" i="11"/>
  <c r="I288" i="11"/>
  <c r="G288" i="11"/>
  <c r="I287" i="11"/>
  <c r="G287" i="11"/>
  <c r="I286" i="11"/>
  <c r="G286" i="11"/>
  <c r="I285" i="11"/>
  <c r="G285" i="11"/>
  <c r="I284" i="11"/>
  <c r="G284" i="11"/>
  <c r="I283" i="11"/>
  <c r="G283" i="11"/>
  <c r="I282" i="11"/>
  <c r="G282" i="11"/>
  <c r="I281" i="11"/>
  <c r="G281" i="11"/>
  <c r="I280" i="11"/>
  <c r="G280" i="11"/>
  <c r="I279" i="11"/>
  <c r="G279" i="11"/>
  <c r="I278" i="11"/>
  <c r="G278" i="11"/>
  <c r="I277" i="11"/>
  <c r="G277" i="11"/>
  <c r="I276" i="11"/>
  <c r="G276" i="11"/>
  <c r="I275" i="11"/>
  <c r="G275" i="11"/>
  <c r="I274" i="11"/>
  <c r="G274" i="11"/>
  <c r="I273" i="11"/>
  <c r="G273" i="11"/>
  <c r="I272" i="11"/>
  <c r="G272" i="11"/>
  <c r="I271" i="11"/>
  <c r="G271" i="11"/>
  <c r="I270" i="11"/>
  <c r="G270" i="11"/>
  <c r="I269" i="11"/>
  <c r="G269" i="11"/>
  <c r="I268" i="11"/>
  <c r="G268" i="11"/>
  <c r="I267" i="11"/>
  <c r="G267" i="11"/>
  <c r="I266" i="11"/>
  <c r="G266" i="11"/>
  <c r="I265" i="11"/>
  <c r="G265" i="11"/>
  <c r="I264" i="11"/>
  <c r="G264" i="11"/>
  <c r="I263" i="11"/>
  <c r="G263" i="11"/>
  <c r="I262" i="11"/>
  <c r="G262" i="11"/>
  <c r="I261" i="11"/>
  <c r="G261" i="11"/>
  <c r="I260" i="11"/>
  <c r="G260" i="11"/>
  <c r="I259" i="11"/>
  <c r="G259" i="11"/>
  <c r="I258" i="11"/>
  <c r="G258" i="11"/>
  <c r="I257" i="11"/>
  <c r="G257" i="11"/>
  <c r="I256" i="11"/>
  <c r="G256" i="11"/>
  <c r="I255" i="11"/>
  <c r="G255" i="11"/>
  <c r="I254" i="11"/>
  <c r="G254" i="11"/>
  <c r="I253" i="11"/>
  <c r="G253" i="11"/>
  <c r="I252" i="11"/>
  <c r="G252" i="11"/>
  <c r="I251" i="11"/>
  <c r="G251" i="11"/>
  <c r="I250" i="11"/>
  <c r="G250" i="11"/>
  <c r="I249" i="11"/>
  <c r="G249" i="11"/>
  <c r="I248" i="11"/>
  <c r="G248" i="11"/>
  <c r="I247" i="11"/>
  <c r="G247" i="11"/>
  <c r="I246" i="11"/>
  <c r="G246" i="11"/>
  <c r="I245" i="11"/>
  <c r="G245" i="11"/>
  <c r="I244" i="11"/>
  <c r="G244" i="11"/>
  <c r="I243" i="11"/>
  <c r="G243" i="11"/>
  <c r="I242" i="11"/>
  <c r="G242" i="11"/>
  <c r="I241" i="11"/>
  <c r="G241" i="11"/>
  <c r="I240" i="11"/>
  <c r="G240" i="11"/>
  <c r="I239" i="11"/>
  <c r="G239" i="11"/>
  <c r="I238" i="11"/>
  <c r="G238" i="11"/>
  <c r="I237" i="11"/>
  <c r="G237" i="11"/>
  <c r="I236" i="11"/>
  <c r="G236" i="11"/>
  <c r="I235" i="11"/>
  <c r="G235" i="11"/>
  <c r="I234" i="11"/>
  <c r="G234" i="11"/>
  <c r="I233" i="11"/>
  <c r="G233" i="11"/>
  <c r="I232" i="11"/>
  <c r="G232" i="11"/>
  <c r="I231" i="11"/>
  <c r="G231" i="11"/>
  <c r="I230" i="11"/>
  <c r="G230" i="11"/>
  <c r="I229" i="11"/>
  <c r="G229" i="11"/>
  <c r="I228" i="11"/>
  <c r="G228" i="11"/>
  <c r="I227" i="11"/>
  <c r="G227" i="11"/>
  <c r="I226" i="11"/>
  <c r="G226" i="11"/>
  <c r="I225" i="11"/>
  <c r="G225" i="11"/>
  <c r="I224" i="11"/>
  <c r="G224" i="11"/>
  <c r="I223" i="11"/>
  <c r="G223" i="11"/>
  <c r="I222" i="11"/>
  <c r="G222" i="11"/>
  <c r="I221" i="11"/>
  <c r="G221" i="11"/>
  <c r="I220" i="11"/>
  <c r="G220" i="11"/>
  <c r="I219" i="11"/>
  <c r="G219" i="11"/>
  <c r="I218" i="11"/>
  <c r="G218" i="11"/>
  <c r="I217" i="11"/>
  <c r="G217" i="11"/>
  <c r="I216" i="11"/>
  <c r="G216" i="11"/>
  <c r="I215" i="11"/>
  <c r="G215" i="11"/>
  <c r="I214" i="11"/>
  <c r="G214" i="11"/>
  <c r="I213" i="11"/>
  <c r="G213" i="11"/>
  <c r="I212" i="11"/>
  <c r="G212" i="11"/>
  <c r="I211" i="11"/>
  <c r="G211" i="11"/>
  <c r="I210" i="11"/>
  <c r="G210" i="11"/>
  <c r="I209" i="11"/>
  <c r="G209" i="11"/>
  <c r="I208" i="11"/>
  <c r="G208" i="11"/>
  <c r="I207" i="11"/>
  <c r="G207" i="11"/>
  <c r="I206" i="11"/>
  <c r="G206" i="11"/>
  <c r="I205" i="11"/>
  <c r="G205" i="11"/>
  <c r="I204" i="11"/>
  <c r="G204" i="11"/>
  <c r="I203" i="11"/>
  <c r="G203" i="11"/>
  <c r="I202" i="11"/>
  <c r="G202" i="11"/>
  <c r="I201" i="11"/>
  <c r="G201" i="11"/>
  <c r="I200" i="11"/>
  <c r="G200" i="11"/>
  <c r="I199" i="11"/>
  <c r="G199" i="11"/>
  <c r="I198" i="11"/>
  <c r="G198" i="11"/>
  <c r="I197" i="11"/>
  <c r="G197" i="11"/>
  <c r="I196" i="11"/>
  <c r="G196" i="11"/>
  <c r="I195" i="11"/>
  <c r="G195" i="11"/>
  <c r="I194" i="11"/>
  <c r="G194" i="11"/>
  <c r="I193" i="11"/>
  <c r="G193" i="11"/>
  <c r="I192" i="11"/>
  <c r="G192" i="11"/>
  <c r="I191" i="11"/>
  <c r="G191" i="11"/>
  <c r="I190" i="11"/>
  <c r="G190" i="11"/>
  <c r="I189" i="11"/>
  <c r="G189" i="11"/>
  <c r="I188" i="11"/>
  <c r="G188" i="11"/>
  <c r="I187" i="11"/>
  <c r="G187" i="11"/>
  <c r="I186" i="11"/>
  <c r="G186" i="11"/>
  <c r="I185" i="11"/>
  <c r="G185" i="11"/>
  <c r="I184" i="11"/>
  <c r="G184" i="11"/>
  <c r="I183" i="11"/>
  <c r="G183" i="11"/>
  <c r="I182" i="11"/>
  <c r="G182" i="11"/>
  <c r="I181" i="11"/>
  <c r="G181" i="11"/>
  <c r="I180" i="11"/>
  <c r="G180" i="11"/>
  <c r="I179" i="11"/>
  <c r="G179" i="11"/>
  <c r="I178" i="11"/>
  <c r="G178" i="11"/>
  <c r="I177" i="11"/>
  <c r="G177" i="11"/>
  <c r="I176" i="11"/>
  <c r="G176" i="11"/>
  <c r="I175" i="11"/>
  <c r="G175" i="11"/>
  <c r="I174" i="11"/>
  <c r="G174" i="11"/>
  <c r="I173" i="11"/>
  <c r="G173" i="11"/>
  <c r="I172" i="11"/>
  <c r="G172" i="11"/>
  <c r="I171" i="11"/>
  <c r="G171" i="11"/>
  <c r="I170" i="11"/>
  <c r="G170" i="11"/>
  <c r="I169" i="11"/>
  <c r="G169" i="11"/>
  <c r="I168" i="11"/>
  <c r="G168" i="11"/>
  <c r="I167" i="11"/>
  <c r="G167" i="11"/>
  <c r="I166" i="11"/>
  <c r="G166" i="11"/>
  <c r="I165" i="11"/>
  <c r="G165" i="11"/>
  <c r="I164" i="11"/>
  <c r="G164" i="11"/>
  <c r="I163" i="11"/>
  <c r="G163" i="11"/>
  <c r="I162" i="11"/>
  <c r="G162" i="11"/>
  <c r="I161" i="11"/>
  <c r="G161" i="11"/>
  <c r="I160" i="11"/>
  <c r="G160" i="11"/>
  <c r="I159" i="11"/>
  <c r="G159" i="11"/>
  <c r="I158" i="11"/>
  <c r="G158" i="11"/>
  <c r="I157" i="11"/>
  <c r="G157" i="11"/>
  <c r="I156" i="11"/>
  <c r="G156" i="11"/>
  <c r="I155" i="11"/>
  <c r="G155" i="11"/>
  <c r="I154" i="11"/>
  <c r="G154" i="11"/>
  <c r="I153" i="11"/>
  <c r="G153" i="11"/>
  <c r="I152" i="11"/>
  <c r="G152" i="11"/>
  <c r="I151" i="11"/>
  <c r="G151" i="11"/>
  <c r="I150" i="11"/>
  <c r="G150" i="11"/>
  <c r="I149" i="11"/>
  <c r="G149" i="11"/>
  <c r="I148" i="11"/>
  <c r="G148" i="11"/>
  <c r="I147" i="11"/>
  <c r="G147" i="11"/>
  <c r="I146" i="11"/>
  <c r="G146" i="11"/>
  <c r="I145" i="11"/>
  <c r="G145" i="11"/>
  <c r="I144" i="11"/>
  <c r="G144" i="11"/>
  <c r="I143" i="11"/>
  <c r="G143" i="11"/>
  <c r="I142" i="11"/>
  <c r="G142" i="11"/>
  <c r="I141" i="11"/>
  <c r="G141" i="11"/>
  <c r="I140" i="11"/>
  <c r="G140" i="11"/>
  <c r="I139" i="11"/>
  <c r="G139" i="11"/>
  <c r="I138" i="11"/>
  <c r="G138" i="11"/>
  <c r="I137" i="11"/>
  <c r="G137" i="11"/>
  <c r="I136" i="11"/>
  <c r="G136" i="11"/>
  <c r="I135" i="11"/>
  <c r="G135" i="11"/>
  <c r="I134" i="11"/>
  <c r="G134" i="11"/>
  <c r="I133" i="11"/>
  <c r="G133" i="11"/>
  <c r="I132" i="11"/>
  <c r="G132" i="11"/>
  <c r="I131" i="11"/>
  <c r="G131" i="11"/>
  <c r="I130" i="11"/>
  <c r="G130" i="11"/>
  <c r="I129" i="11"/>
  <c r="G129" i="11"/>
  <c r="I128" i="11"/>
  <c r="G128" i="11"/>
  <c r="I127" i="11"/>
  <c r="G127" i="11"/>
  <c r="I126" i="11"/>
  <c r="G126" i="11"/>
  <c r="I125" i="11"/>
  <c r="G125" i="11"/>
  <c r="I124" i="11"/>
  <c r="G124" i="11"/>
  <c r="I123" i="11"/>
  <c r="G123" i="11"/>
  <c r="I122" i="11"/>
  <c r="G122" i="11"/>
  <c r="I121" i="11"/>
  <c r="G121" i="11"/>
  <c r="I120" i="11"/>
  <c r="G120" i="11"/>
  <c r="I119" i="11"/>
  <c r="G119" i="11"/>
  <c r="I118" i="11"/>
  <c r="G118" i="11"/>
  <c r="I117" i="11"/>
  <c r="G117" i="11"/>
  <c r="I116" i="11"/>
  <c r="G116" i="11"/>
  <c r="I115" i="11"/>
  <c r="G115" i="11"/>
  <c r="I114" i="11"/>
  <c r="G114" i="11"/>
  <c r="I113" i="11"/>
  <c r="G113" i="11"/>
  <c r="I112" i="11"/>
  <c r="G112" i="11"/>
  <c r="I111" i="11"/>
  <c r="G111" i="11"/>
  <c r="I110" i="11"/>
  <c r="G110" i="11"/>
  <c r="I109" i="11"/>
  <c r="G109" i="11"/>
  <c r="I108" i="11"/>
  <c r="G108" i="11"/>
  <c r="I107" i="11"/>
  <c r="G107" i="11"/>
  <c r="I106" i="11"/>
  <c r="G106" i="11"/>
  <c r="I105" i="11"/>
  <c r="G105" i="11"/>
  <c r="I104" i="11"/>
  <c r="G104" i="11"/>
  <c r="I103" i="11"/>
  <c r="G103" i="11"/>
  <c r="I102" i="11"/>
  <c r="G102" i="11"/>
  <c r="I101" i="11"/>
  <c r="G101" i="11"/>
  <c r="I100" i="11"/>
  <c r="G100" i="11"/>
  <c r="I99" i="11"/>
  <c r="G99" i="11"/>
  <c r="I98" i="11"/>
  <c r="G98" i="11"/>
  <c r="I97" i="11"/>
  <c r="G97" i="11"/>
  <c r="I96" i="11"/>
  <c r="G96" i="11"/>
  <c r="I95" i="11"/>
  <c r="G95" i="11"/>
  <c r="I94" i="11"/>
  <c r="G94" i="11"/>
  <c r="I93" i="11"/>
  <c r="G93" i="11"/>
  <c r="I92" i="11"/>
  <c r="G92" i="11"/>
  <c r="I91" i="11"/>
  <c r="G91" i="11"/>
  <c r="I90" i="11"/>
  <c r="G90" i="11"/>
  <c r="I89" i="11"/>
  <c r="G89" i="11"/>
  <c r="I88" i="11"/>
  <c r="G88" i="11"/>
  <c r="I87" i="11"/>
  <c r="G87" i="11"/>
  <c r="I86" i="11"/>
  <c r="G86" i="11"/>
  <c r="I85" i="11"/>
  <c r="G85" i="11"/>
  <c r="I84" i="11"/>
  <c r="G84" i="11"/>
  <c r="I83" i="11"/>
  <c r="G83" i="11"/>
  <c r="I82" i="11"/>
  <c r="G82" i="11"/>
  <c r="I81" i="11"/>
  <c r="G81" i="11"/>
  <c r="I80" i="11"/>
  <c r="G80" i="11"/>
  <c r="I79" i="11"/>
  <c r="G79" i="11"/>
  <c r="I78" i="11"/>
  <c r="G78" i="11"/>
  <c r="I77" i="11"/>
  <c r="G77" i="11"/>
  <c r="I76" i="11"/>
  <c r="G76" i="11"/>
  <c r="I75" i="11"/>
  <c r="G75" i="11"/>
  <c r="I74" i="11"/>
  <c r="G74" i="11"/>
  <c r="I73" i="11"/>
  <c r="G73" i="11"/>
  <c r="I72" i="11"/>
  <c r="G72" i="11"/>
  <c r="I71" i="11"/>
  <c r="G71" i="11"/>
  <c r="I70" i="11"/>
  <c r="G70" i="11"/>
  <c r="I69" i="11"/>
  <c r="G69" i="11"/>
  <c r="I68" i="11"/>
  <c r="G68" i="11"/>
  <c r="I67" i="11"/>
  <c r="G67" i="11"/>
  <c r="I66" i="11"/>
  <c r="G66" i="11"/>
  <c r="I65" i="11"/>
  <c r="G65" i="11"/>
  <c r="I64" i="11"/>
  <c r="G64" i="11"/>
  <c r="I63" i="11"/>
  <c r="G63" i="11"/>
  <c r="I62" i="11"/>
  <c r="G62" i="11"/>
  <c r="I61" i="11"/>
  <c r="G61" i="11"/>
  <c r="I60" i="11"/>
  <c r="G60" i="11"/>
  <c r="I59" i="11"/>
  <c r="G59" i="11"/>
  <c r="I58" i="11"/>
  <c r="G58" i="11"/>
  <c r="I57" i="11"/>
  <c r="G57" i="11"/>
  <c r="I56" i="11"/>
  <c r="G56" i="11"/>
  <c r="I55" i="11"/>
  <c r="G55" i="11"/>
  <c r="I54" i="11"/>
  <c r="G54" i="11"/>
  <c r="I53" i="11"/>
  <c r="G53" i="11"/>
  <c r="I52" i="11"/>
  <c r="G52" i="11"/>
  <c r="I51" i="11"/>
  <c r="G51" i="11"/>
  <c r="I50" i="11"/>
  <c r="G50" i="11"/>
  <c r="I49" i="11"/>
  <c r="G49" i="11"/>
  <c r="I48" i="11"/>
  <c r="G48" i="11"/>
  <c r="I47" i="11"/>
  <c r="G47" i="11"/>
  <c r="I46" i="11"/>
  <c r="G46" i="11"/>
  <c r="I45" i="11"/>
  <c r="G45" i="11"/>
  <c r="I44" i="11"/>
  <c r="G44" i="11"/>
  <c r="I43" i="11"/>
  <c r="G43" i="11"/>
  <c r="I42" i="11"/>
  <c r="G42" i="11"/>
  <c r="I41" i="11"/>
  <c r="G41" i="11"/>
  <c r="I40" i="11"/>
  <c r="G40" i="11"/>
  <c r="I39" i="11"/>
  <c r="G39" i="11"/>
  <c r="I38" i="11"/>
  <c r="G38" i="11"/>
  <c r="I37" i="11"/>
  <c r="G37" i="11"/>
  <c r="I36" i="11"/>
  <c r="G36" i="11"/>
  <c r="I35" i="11"/>
  <c r="G35" i="11"/>
  <c r="I34" i="11"/>
  <c r="G34" i="11"/>
  <c r="I33" i="11"/>
  <c r="G33" i="11"/>
  <c r="I32" i="11"/>
  <c r="G32" i="11"/>
  <c r="I31" i="11"/>
  <c r="G31" i="11"/>
  <c r="I30" i="11"/>
  <c r="G30" i="11"/>
  <c r="I29" i="11"/>
  <c r="G29" i="11"/>
  <c r="I28" i="11"/>
  <c r="G28" i="11"/>
  <c r="I27" i="11"/>
  <c r="G27" i="11"/>
  <c r="I26" i="11"/>
  <c r="G26" i="11"/>
  <c r="I25" i="11"/>
  <c r="G25" i="11"/>
  <c r="I24" i="11"/>
  <c r="G24" i="11"/>
  <c r="I23" i="11"/>
  <c r="G23" i="11"/>
  <c r="I22" i="11"/>
  <c r="G22" i="11"/>
  <c r="I21" i="11"/>
  <c r="G21" i="11"/>
  <c r="I20" i="11"/>
  <c r="G20" i="11"/>
  <c r="I19" i="11"/>
  <c r="G19" i="11"/>
  <c r="I18" i="11"/>
  <c r="G18" i="11"/>
  <c r="I17" i="11"/>
  <c r="G17" i="11"/>
  <c r="I16" i="11"/>
  <c r="G16" i="11"/>
  <c r="I15" i="11"/>
  <c r="G15" i="11"/>
  <c r="I14" i="11"/>
  <c r="G14" i="11"/>
  <c r="I13" i="11"/>
  <c r="G13" i="11"/>
  <c r="I12" i="11"/>
  <c r="G12" i="11"/>
  <c r="I11" i="11"/>
  <c r="G11" i="11"/>
  <c r="I10" i="11"/>
  <c r="I9" i="11"/>
  <c r="I8" i="11"/>
  <c r="I7" i="11"/>
  <c r="I6" i="11"/>
  <c r="I5" i="11"/>
  <c r="I4" i="11"/>
  <c r="I3" i="11"/>
  <c r="I2" i="11"/>
  <c r="G10" i="11"/>
  <c r="G9" i="11"/>
  <c r="G8" i="11"/>
  <c r="G7" i="11"/>
  <c r="G6" i="11"/>
  <c r="G5" i="11"/>
  <c r="G4" i="11"/>
  <c r="G3" i="11"/>
  <c r="G2" i="11"/>
</calcChain>
</file>

<file path=xl/sharedStrings.xml><?xml version="1.0" encoding="utf-8"?>
<sst xmlns="http://schemas.openxmlformats.org/spreadsheetml/2006/main" count="2697" uniqueCount="123">
  <si>
    <t>State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</si>
  <si>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</si>
  <si>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</si>
  <si>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</si>
  <si>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</si>
  <si>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</si>
  <si>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</si>
  <si>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</si>
  <si>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</si>
  <si>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</si>
  <si>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</si>
  <si>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</si>
  <si>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</si>
  <si>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</si>
  <si>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</si>
  <si>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</si>
  <si>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</si>
  <si>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</si>
  <si>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</si>
  <si>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</si>
  <si>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</si>
  <si>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</si>
  <si>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</si>
  <si>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</si>
  <si>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</si>
  <si>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</si>
  <si>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</si>
  <si>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</si>
  <si>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</si>
  <si>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NewHampshire</t>
  </si>
  <si>
    <t>NewJersey</t>
  </si>
  <si>
    <t>NewMexico</t>
  </si>
  <si>
    <t>NewYork</t>
  </si>
  <si>
    <t>NorthCarolina</t>
  </si>
  <si>
    <t>NorthDakota</t>
  </si>
  <si>
    <t>Ohio</t>
  </si>
  <si>
    <t>Oklahoma</t>
  </si>
  <si>
    <t>Oregon</t>
  </si>
  <si>
    <t>Pennsylvania</t>
  </si>
  <si>
    <t>RhodeIsland</t>
  </si>
  <si>
    <t>SouthCarolina</t>
  </si>
  <si>
    <t>SouthDakota</t>
  </si>
  <si>
    <t>Tennessee</t>
  </si>
  <si>
    <t>Texas</t>
  </si>
  <si>
    <t>Utah</t>
  </si>
  <si>
    <t>Vermont</t>
  </si>
  <si>
    <t>Virginia</t>
  </si>
  <si>
    <t>Washington</t>
  </si>
  <si>
    <t>WestVirginia</t>
  </si>
  <si>
    <t>Wisconsin</t>
  </si>
  <si>
    <t>Wyoming</t>
  </si>
  <si>
    <t>McDonald's</t>
  </si>
  <si>
    <t>Wendy's</t>
  </si>
  <si>
    <t>Burger King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</si>
  <si>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</si>
  <si>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</si>
  <si>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</si>
  <si>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</si>
  <si>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</si>
  <si>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</si>
  <si>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</si>
  <si>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</si>
  <si>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</si>
  <si>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</si>
  <si>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</si>
  <si>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</si>
  <si>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CategoryID</t>
  </si>
  <si>
    <t>CategoryName</t>
  </si>
  <si>
    <t>Products</t>
  </si>
  <si>
    <t>French Fries</t>
  </si>
  <si>
    <t>Egg McMuffin</t>
  </si>
  <si>
    <t>Baked Apple Pie</t>
  </si>
  <si>
    <t>Chicken McNuggets</t>
  </si>
  <si>
    <t>Premium Salads</t>
  </si>
  <si>
    <t>Double Cheeseburger</t>
  </si>
  <si>
    <t>McGriddles Breakfast Sandwich</t>
  </si>
  <si>
    <t>Happy Meal</t>
  </si>
  <si>
    <t>Rank</t>
  </si>
  <si>
    <t>Baconator</t>
  </si>
  <si>
    <t>Frosty</t>
  </si>
  <si>
    <t>Spicy Chicken Sandwich</t>
  </si>
  <si>
    <t>Baked Potato</t>
  </si>
  <si>
    <t>Jr. Bacon Cheeseburger</t>
  </si>
  <si>
    <t>Chili</t>
  </si>
  <si>
    <t>Jr. Cheeseburger Deluxe</t>
  </si>
  <si>
    <t>Dave’s Double</t>
  </si>
  <si>
    <t>Cheese Fries</t>
  </si>
  <si>
    <t>Chicken Nuggets</t>
  </si>
  <si>
    <t>Ultimate Bacon Cheeseburger</t>
  </si>
  <si>
    <t>Grilled Dog</t>
  </si>
  <si>
    <t>Big King</t>
  </si>
  <si>
    <t>Extra Long Cheeseburger</t>
  </si>
  <si>
    <t>MorningStar Veggie Burger</t>
  </si>
  <si>
    <t>Extra Long Fish Sandwich</t>
  </si>
  <si>
    <t>Flame Grilled Chicken Burger</t>
  </si>
  <si>
    <t>Tendercrisp Chicken Sandwich</t>
  </si>
  <si>
    <t>ProductsID</t>
  </si>
  <si>
    <t>MonthID</t>
  </si>
  <si>
    <t>StateID</t>
  </si>
  <si>
    <t>MonthName</t>
  </si>
  <si>
    <t>UnitPrice</t>
  </si>
  <si>
    <t>Wendy's (with Franchise)</t>
  </si>
  <si>
    <t xml:space="preserve"> Sales Volume McDonald's</t>
  </si>
  <si>
    <t xml:space="preserve"> Sales Volume Wendy's</t>
  </si>
  <si>
    <t xml:space="preserve"> Sales Volume Burger King</t>
  </si>
  <si>
    <t>Sales</t>
  </si>
  <si>
    <t>State1</t>
  </si>
  <si>
    <t>StateName</t>
  </si>
  <si>
    <t>ProductID</t>
  </si>
  <si>
    <t>ProductsName</t>
  </si>
  <si>
    <t>Target</t>
  </si>
  <si>
    <t>Original Chicken Sandwich</t>
  </si>
  <si>
    <t>Whopper</t>
  </si>
  <si>
    <t>Units</t>
  </si>
  <si>
    <t>Price</t>
  </si>
  <si>
    <t>Population</t>
  </si>
  <si>
    <t>Calories</t>
  </si>
  <si>
    <t>McDonald's One Restaurant per Population</t>
  </si>
  <si>
    <t>Wendy's One Restaurant per Population</t>
  </si>
  <si>
    <t>Burger King  One Restaurant per Population</t>
  </si>
  <si>
    <t>Units Target</t>
  </si>
  <si>
    <t>Big Mac บิ๊กแม็ก</t>
  </si>
  <si>
    <t>Snack Wrap สระอู สระอุ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</si>
</sst>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333333"/>
      <name val="Arial"/>
      <family val="2"/>
      <charset val="204"/>
    </font>
    <font>
      <sz val="10"/>
      <color rgb="FF0A0A0A"/>
      <name val="Arial"/>
      <family val="2"/>
      <charset val="204"/>
    </font>
    <font>
      <sz val="10"/>
      <color rgb="FF222222"/>
      <name val="Arial"/>
      <family val="2"/>
      <charset val="204"/>
    </font>
    <font>
      <sz val="10"/>
      <color rgb="FF222222"/>
      <name val="Frankfurter"/>
    </font>
    <font>
      <sz val="10"/>
      <color rgb="FF221E22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/>
    <xf numFmtId="0" fontId="0" fillId="3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0" fillId="3" borderId="2" xfId="0" applyFont="1" applyFill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1" fillId="2" borderId="0" xfId="0" applyFont="1" applyFill="1" applyBorder="1"/>
    <xf numFmtId="4" fontId="8" fillId="0" borderId="0" xfId="0" applyNumberFormat="1" applyFont="1" applyFill="1" applyBorder="1" applyAlignment="1" applyProtection="1">
      <alignment horizontal="left" vertical="center" wrapText="1" readingOrder="1"/>
    </xf>
    <xf numFmtId="0" fontId="0" fillId="0" borderId="0" xfId="0" applyNumberFormat="1"/>
    <xf numFmtId="1" fontId="7" fillId="0" borderId="1" xfId="0" applyNumberFormat="1" applyFont="1" applyBorder="1"/>
    <xf numFmtId="0" fontId="0" fillId="0" borderId="1" xfId="0" applyFont="1" applyBorder="1"/>
    <xf numFmtId="0" fontId="0" fillId="3" borderId="3" xfId="0" applyFont="1" applyFill="1" applyBorder="1" applyAlignment="1">
      <alignment vertical="center" wrapText="1"/>
    </xf>
    <xf numFmtId="1" fontId="7" fillId="3" borderId="3" xfId="0" applyNumberFormat="1" applyFont="1" applyFill="1" applyBorder="1"/>
    <xf numFmtId="0" fontId="0" fillId="3" borderId="3" xfId="0" applyFont="1" applyFill="1" applyBorder="1"/>
    <xf numFmtId="1" fontId="7" fillId="0" borderId="3" xfId="0" applyNumberFormat="1" applyFont="1" applyBorder="1"/>
    <xf numFmtId="0" fontId="0" fillId="0" borderId="3" xfId="0" applyFont="1" applyBorder="1"/>
    <xf numFmtId="0" fontId="1" fillId="2" borderId="0" xfId="0" applyFont="1" applyFill="1" applyBorder="1" applyAlignment="1">
      <alignment vertical="center"/>
    </xf>
    <xf numFmtId="0" fontId="1" fillId="2" borderId="4" xfId="0" applyFont="1" applyFill="1" applyBorder="1"/>
    <xf numFmtId="0" fontId="1" fillId="2" borderId="0" xfId="0" applyFont="1" applyFill="1"/>
    <xf numFmtId="3" fontId="0" fillId="0" borderId="0" xfId="0" applyNumberFormat="1"/>
    <xf numFmtId="3" fontId="7" fillId="0" borderId="0" xfId="0" applyNumberFormat="1" applyFont="1"/>
    <xf numFmtId="4" fontId="0" fillId="0" borderId="0" xfId="0" applyNumberFormat="1"/>
    <xf numFmtId="3" fontId="8" fillId="3" borderId="3" xfId="0" applyNumberFormat="1" applyFont="1" applyFill="1" applyBorder="1" applyAlignment="1">
      <alignment horizontal="right" vertical="center" wrapText="1" readingOrder="1"/>
    </xf>
    <xf numFmtId="3" fontId="8" fillId="0" borderId="3" xfId="0" applyNumberFormat="1" applyFont="1" applyBorder="1" applyAlignment="1">
      <alignment horizontal="right" vertical="center" wrapText="1" readingOrder="1"/>
    </xf>
    <xf numFmtId="3" fontId="8" fillId="0" borderId="1" xfId="0" applyNumberFormat="1" applyFont="1" applyBorder="1" applyAlignment="1">
      <alignment horizontal="right" vertical="center" wrapText="1" readingOrder="1"/>
    </xf>
    <xf numFmtId="4" fontId="8" fillId="0" borderId="0" xfId="0" applyNumberFormat="1" applyFont="1" applyFill="1" applyBorder="1" applyAlignment="1" applyProtection="1">
      <alignment horizontal="right" vertical="center" wrapText="1" readingOrder="1"/>
    </xf>
    <xf numFmtId="1" fontId="0" fillId="0" borderId="0" xfId="0" applyNumberFormat="1"/>
    <xf numFmtId="2" fontId="0" fillId="0" borderId="0" xfId="0" applyNumberFormat="1" applyFont="1"/>
  </cellXfs>
  <cellStyles count="1">
    <cellStyle name="Normal" xfId="0" builtinId="0"/>
  </cellStyles>
  <dxfs count="29">
    <dxf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04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04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04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04"/>
        <scheme val="none"/>
      </font>
      <numFmt numFmtId="3" formatCode="#,##0"/>
      <alignment horizontal="right" vertical="center" textRotation="0" wrapText="1" indent="0" justifyLastLine="0" shrinkToFit="0" readingOrder="1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04"/>
        <scheme val="none"/>
      </font>
      <numFmt numFmtId="3" formatCode="#,##0"/>
      <alignment horizontal="right" vertical="center" textRotation="0" wrapText="1" indent="0" justifyLastLine="0" shrinkToFit="0" readingOrder="1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04"/>
        <scheme val="none"/>
      </font>
      <numFmt numFmtId="3" formatCode="#,##0"/>
      <alignment horizontal="right" vertical="center" textRotation="0" wrapText="1" indent="0" justifyLastLine="0" shrinkToFit="0" readingOrder="1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04"/>
        <scheme val="none"/>
      </font>
      <numFmt numFmtId="1" formatCode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rgb="FF9BC2E6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04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strike val="0"/>
        <outline val="0"/>
        <shadow val="0"/>
        <u val="none"/>
        <vertAlign val="baseline"/>
        <sz val="10"/>
        <color indexed="8"/>
        <name val="Arial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protection locked="1" hidden="0"/>
    </dxf>
    <dxf>
      <font>
        <strike val="0"/>
        <outline val="0"/>
        <shadow val="0"/>
        <u val="none"/>
        <vertAlign val="baseline"/>
        <sz val="10"/>
        <color indexed="8"/>
        <name val="Arial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protection locked="1" hidden="0"/>
    </dxf>
    <dxf>
      <font>
        <strike val="0"/>
        <outline val="0"/>
        <shadow val="0"/>
        <u val="none"/>
        <vertAlign val="baseline"/>
        <sz val="10"/>
        <color indexed="8"/>
        <name val="Arial"/>
        <charset val="1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Arial"/>
        <family val="2"/>
        <charset val="204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rgb="FF9BC2E6"/>
        </left>
      </border>
    </dxf>
    <dxf>
      <numFmt numFmtId="3" formatCode="#,##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1E22"/>
        <name val="Arial"/>
        <family val="2"/>
        <charset val="204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1E22"/>
        <name val="Arial"/>
        <family val="2"/>
        <charset val="204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E9E328D-56FB-4664-8915-68487A5AC26A}" name="Table5" displayName="Table5" ref="A1:G31" totalsRowShown="0">
  <autoFilter ref="A1:G31" xr:uid="{7C9D9C92-9136-4634-B382-3ECD6C5D78A5}"/>
  <tableColumns count="7">
    <tableColumn id="5" xr3:uid="{D6F7B7FF-0019-42F0-81EA-6CE73C6C4DB6}" name="ProductsID" dataDxfId="28"/>
    <tableColumn id="1" xr3:uid="{7996B7CA-EF76-45C5-9D15-E390E760D429}" name="Products" dataDxfId="27"/>
    <tableColumn id="2" xr3:uid="{42FC0D44-C97B-4DA8-9512-CB6FDB1CF4C3}" name="Rank"/>
    <tableColumn id="3" xr3:uid="{29C29830-BCC9-44E5-A135-EDC10B6203EB}" name="CategoryID"/>
    <tableColumn id="4" xr3:uid="{1440AFBE-DA3D-4144-9BB0-A3842447603A}" name="CategoryName"/>
    <tableColumn id="6" xr3:uid="{7BE916DB-2632-4B6B-84F5-AA4BB39C7A30}" name="UnitPrice" dataDxfId="26"/>
    <tableColumn id="7" xr3:uid="{51E05547-3208-45E8-A582-B2A5FE8C90CE}" name="Calories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07E98F8-AF2A-4F7F-820D-B9C755E6CB64}" name="Table17" displayName="Table17" ref="A1:G601" totalsRowShown="0" tableBorderDxfId="24">
  <autoFilter ref="A1:G601" xr:uid="{51077056-DAB1-46F5-A63E-954C9083E7B6}"/>
  <tableColumns count="7">
    <tableColumn id="5" xr3:uid="{83F418DC-873F-4056-B845-35F5DD9E0011}" name="StateID" dataDxfId="23"/>
    <tableColumn id="1" xr3:uid="{8E6E9F48-1E1F-4B79-980F-061390E5AC4F}" name="State" dataDxfId="22"/>
    <tableColumn id="6" xr3:uid="{F8EB110F-7F61-4C45-95F2-50E13B396F8F}" name="MonthID" dataDxfId="21"/>
    <tableColumn id="7" xr3:uid="{E4FD5B27-0EF9-40B6-9C90-0CE9F2EB8DA9}" name="MonthName" dataDxfId="20"/>
    <tableColumn id="2" xr3:uid="{62CFF957-2354-4750-9DBE-193AD93C59FE}" name="McDonald's" dataDxfId="19"/>
    <tableColumn id="3" xr3:uid="{5A000BF8-4E4B-4631-B7D1-054855B22E04}" name="Wendy's" dataDxfId="18"/>
    <tableColumn id="4" xr3:uid="{771EBEF1-1D7B-488E-9438-5D36F6EE31B8}" name="Burger King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3AF26A-1004-4E52-8C9B-85C8292334A0}" name="Table2" displayName="Table2" ref="A1:L51" totalsRowShown="0" headerRowDxfId="16" dataDxfId="15" tableBorderDxfId="14">
  <autoFilter ref="A1:L51" xr:uid="{6864EBEC-D51D-4C04-A0FF-2BD4D9175458}"/>
  <tableColumns count="12">
    <tableColumn id="1" xr3:uid="{1D082785-653E-48B2-9417-DE615F4F24E6}" name="StateID" dataDxfId="13"/>
    <tableColumn id="2" xr3:uid="{73F12189-86BD-4689-94D9-6BB90CE978E4}" name="State" dataDxfId="12"/>
    <tableColumn id="3" xr3:uid="{8F7F3D0F-CFBB-48E6-B5E5-7C0B95BCDF27}" name="McDonald's" dataDxfId="11"/>
    <tableColumn id="4" xr3:uid="{04109F8A-33D0-4CE0-81D9-5703D5BC73B1}" name="Wendy's (with Franchise)" dataDxfId="10"/>
    <tableColumn id="5" xr3:uid="{BE58A8F8-2185-4DA0-9F9B-84E25A701C4F}" name="Burger King" dataDxfId="9"/>
    <tableColumn id="6" xr3:uid="{B49091EB-C071-4BDB-BD99-E828F82E375F}" name=" Sales Volume McDonald's" dataDxfId="8"/>
    <tableColumn id="7" xr3:uid="{B07E70FA-371D-4D0B-99AB-55919A523524}" name=" Sales Volume Wendy's" dataDxfId="7"/>
    <tableColumn id="8" xr3:uid="{3548314E-9CEB-40A1-BE6D-64D91B795FA8}" name=" Sales Volume Burger King" dataDxfId="6"/>
    <tableColumn id="9" xr3:uid="{0DD8128A-030A-4E66-832C-53B3D50AFA79}" name="McDonald's One Restaurant per Population" dataDxfId="5">
      <calculatedColumnFormula>Table2[[#This Row],[Population]]/Table2[[#This Row],[McDonald''s]]</calculatedColumnFormula>
    </tableColumn>
    <tableColumn id="10" xr3:uid="{9B15225D-5D19-4A0A-90C0-B2D7F06B1B1E}" name="Wendy's One Restaurant per Population" dataDxfId="4">
      <calculatedColumnFormula>Table2[[#This Row],[Population]]/Table2[[#This Row],[Wendy''s (with Franchise)]]</calculatedColumnFormula>
    </tableColumn>
    <tableColumn id="11" xr3:uid="{E737FDE2-09DF-4BAB-BF51-AC40BFE1D83C}" name="Burger King  One Restaurant per Population" dataDxfId="3">
      <calculatedColumnFormula>Table2[[#This Row],[Population]]/Table2[[#This Row],[Burger King]]</calculatedColumnFormula>
    </tableColumn>
    <tableColumn id="12" xr3:uid="{27A7A35E-73EC-4ADD-80BC-881E5A8DBB5F}" name="Population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ACE014-FA8A-4E82-8ED1-562C544E7AB0}" name="Table1" displayName="Table1" ref="A1:K451" totalsRowShown="0">
  <autoFilter ref="A1:K451" xr:uid="{13FB20BA-70D7-4805-B512-96C80F1D54E5}">
    <filterColumn colId="5">
      <filters>
        <filter val="Snack Wrap"/>
      </filters>
    </filterColumn>
  </autoFilter>
  <tableColumns count="11">
    <tableColumn id="1" xr3:uid="{385FD44C-C398-413E-9E40-AD5B5F103E75}" name="State1"/>
    <tableColumn id="2" xr3:uid="{F8F69C3C-4C19-4735-AE59-DDB3F6A2DC00}" name="StateName"/>
    <tableColumn id="3" xr3:uid="{A22C51DB-7385-40DD-8EAC-CE89F0C78EBD}" name="CategoryID"/>
    <tableColumn id="4" xr3:uid="{5A84A8FB-6496-475E-9D65-2148DF60506D}" name="CategoryName"/>
    <tableColumn id="5" xr3:uid="{1F4C3AAD-2944-4488-9A70-751DEF0EEC9A}" name="ProductID"/>
    <tableColumn id="6" xr3:uid="{210A562D-43A0-4DAD-A03E-37861D3983F2}" name="ProductsName"/>
    <tableColumn id="7" xr3:uid="{44C1D66B-74C9-4A84-8C10-D8C45C245756}" name="Sales"/>
    <tableColumn id="8" xr3:uid="{61E5CC89-0E26-4E38-ADCF-326822DEBEB3}" name="Target" dataDxfId="1"/>
    <tableColumn id="9" xr3:uid="{05903530-87F9-49CB-BCCA-D103995FA0DD}" name="Units"/>
    <tableColumn id="14" xr3:uid="{BE723F35-F5BE-4E57-8A30-5087B2CB9F44}" name="Units Target" dataDxfId="0">
      <calculatedColumnFormula>Table1[[#This Row],[Target]]/Table1[[#This Row],[Price]]</calculatedColumnFormula>
    </tableColumn>
    <tableColumn id="10" xr3:uid="{D5789E0C-29DB-4ECC-96E7-318E86366A95}" name="Pri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11523-35D8-4332-939A-5C95BABB016E}">
  <dimension ref="A1:G31"/>
  <sheetViews>
    <sheetView workbookViewId="0">
      <selection activeCell="B5" sqref="B5"/>
    </sheetView>
  </sheetViews>
  <sheetFormatPr defaultRowHeight="15"/>
  <cols>
    <col min="1" max="1" width="11.28515625" customWidth="1"/>
    <col min="2" max="2" width="17.7109375" customWidth="1"/>
    <col min="3" max="3" width="15.85546875" customWidth="1"/>
    <col min="4" max="4" width="16.28515625" customWidth="1"/>
    <col min="5" max="5" width="21.5703125" customWidth="1"/>
    <col min="6" max="6" width="14.42578125" customWidth="1"/>
    <col min="7" max="7" width="19" customWidth="1"/>
  </cols>
  <sheetData>
    <row r="1" spans="1:7">
      <c r="A1" t="s">
        <v>96</v>
      </c>
      <c r="B1" t="s">
        <v>68</v>
      </c>
      <c r="C1" t="s">
        <v>77</v>
      </c>
      <c r="D1" t="s">
        <v>66</v>
      </c>
      <c r="E1" t="s">
        <v>67</v>
      </c>
      <c r="F1" t="s">
        <v>100</v>
      </c>
      <c r="G1" t="s">
        <v>116</v>
      </c>
    </row>
    <row r="2" spans="1:7">
      <c r="A2" s="9">
        <v>1</v>
      </c>
      <c r="B2" s="6" t="s">
        <v>69</v>
      </c>
      <c r="C2">
        <v>1</v>
      </c>
      <c r="D2">
        <v>1</v>
      </c>
      <c r="E2" t="s">
        <v>51</v>
      </c>
      <c r="F2" s="27">
        <v>1.79</v>
      </c>
      <c r="G2" s="25">
        <v>365</v>
      </c>
    </row>
    <row r="3" spans="1:7">
      <c r="A3" s="9">
        <v>2</v>
      </c>
      <c r="B3" s="6" t="s">
        <v>121</v>
      </c>
      <c r="C3">
        <v>2</v>
      </c>
      <c r="D3">
        <v>1</v>
      </c>
      <c r="E3" t="s">
        <v>51</v>
      </c>
      <c r="F3" s="27">
        <v>3.99</v>
      </c>
      <c r="G3" s="25">
        <v>563</v>
      </c>
    </row>
    <row r="4" spans="1:7" ht="25.5">
      <c r="A4" s="9">
        <v>3</v>
      </c>
      <c r="B4" s="6" t="s">
        <v>122</v>
      </c>
      <c r="C4">
        <v>3</v>
      </c>
      <c r="D4">
        <v>1</v>
      </c>
      <c r="E4" t="s">
        <v>51</v>
      </c>
      <c r="F4" s="27">
        <v>1.69</v>
      </c>
      <c r="G4" s="25">
        <v>330</v>
      </c>
    </row>
    <row r="5" spans="1:7">
      <c r="A5" s="9">
        <v>4</v>
      </c>
      <c r="B5" s="6" t="s">
        <v>76</v>
      </c>
      <c r="C5">
        <v>4</v>
      </c>
      <c r="D5">
        <v>1</v>
      </c>
      <c r="E5" t="s">
        <v>51</v>
      </c>
      <c r="F5" s="27">
        <v>2.79</v>
      </c>
      <c r="G5" s="25">
        <v>470</v>
      </c>
    </row>
    <row r="6" spans="1:7">
      <c r="A6" s="9">
        <v>5</v>
      </c>
      <c r="B6" s="6" t="s">
        <v>70</v>
      </c>
      <c r="C6">
        <v>5</v>
      </c>
      <c r="D6">
        <v>1</v>
      </c>
      <c r="E6" t="s">
        <v>51</v>
      </c>
      <c r="F6" s="27">
        <v>2.79</v>
      </c>
      <c r="G6" s="25">
        <v>300</v>
      </c>
    </row>
    <row r="7" spans="1:7">
      <c r="A7" s="9">
        <v>6</v>
      </c>
      <c r="B7" s="6" t="s">
        <v>71</v>
      </c>
      <c r="C7">
        <v>6</v>
      </c>
      <c r="D7">
        <v>1</v>
      </c>
      <c r="E7" t="s">
        <v>51</v>
      </c>
      <c r="F7" s="27">
        <v>0.99</v>
      </c>
      <c r="G7" s="25">
        <v>248</v>
      </c>
    </row>
    <row r="8" spans="1:7" ht="25.5">
      <c r="A8" s="9">
        <v>7</v>
      </c>
      <c r="B8" s="6" t="s">
        <v>72</v>
      </c>
      <c r="C8">
        <v>7</v>
      </c>
      <c r="D8">
        <v>1</v>
      </c>
      <c r="E8" t="s">
        <v>51</v>
      </c>
      <c r="F8" s="27">
        <v>4.49</v>
      </c>
      <c r="G8" s="25">
        <v>287</v>
      </c>
    </row>
    <row r="9" spans="1:7">
      <c r="A9" s="9">
        <v>8</v>
      </c>
      <c r="B9" s="6" t="s">
        <v>73</v>
      </c>
      <c r="C9">
        <v>8</v>
      </c>
      <c r="D9">
        <v>1</v>
      </c>
      <c r="E9" t="s">
        <v>51</v>
      </c>
      <c r="F9" s="27">
        <v>4.79</v>
      </c>
      <c r="G9" s="25">
        <v>410</v>
      </c>
    </row>
    <row r="10" spans="1:7" ht="25.5">
      <c r="A10" s="9">
        <v>9</v>
      </c>
      <c r="B10" s="6" t="s">
        <v>74</v>
      </c>
      <c r="C10">
        <v>9</v>
      </c>
      <c r="D10">
        <v>1</v>
      </c>
      <c r="E10" t="s">
        <v>51</v>
      </c>
      <c r="F10" s="27">
        <v>1.69</v>
      </c>
      <c r="G10" s="25">
        <v>459</v>
      </c>
    </row>
    <row r="11" spans="1:7" ht="25.5">
      <c r="A11" s="9">
        <v>10</v>
      </c>
      <c r="B11" s="6" t="s">
        <v>75</v>
      </c>
      <c r="C11">
        <v>10</v>
      </c>
      <c r="D11">
        <v>1</v>
      </c>
      <c r="E11" t="s">
        <v>51</v>
      </c>
      <c r="F11" s="27">
        <v>1.19</v>
      </c>
      <c r="G11" s="25">
        <v>448</v>
      </c>
    </row>
    <row r="12" spans="1:7">
      <c r="A12" s="9">
        <v>11</v>
      </c>
      <c r="B12" s="6" t="s">
        <v>78</v>
      </c>
      <c r="C12">
        <v>1</v>
      </c>
      <c r="D12">
        <v>2</v>
      </c>
      <c r="E12" t="s">
        <v>52</v>
      </c>
      <c r="F12" s="27">
        <v>6.09</v>
      </c>
      <c r="G12" s="25">
        <v>980</v>
      </c>
    </row>
    <row r="13" spans="1:7">
      <c r="A13" s="9">
        <v>12</v>
      </c>
      <c r="B13" s="7" t="s">
        <v>79</v>
      </c>
      <c r="C13">
        <v>2</v>
      </c>
      <c r="D13">
        <v>2</v>
      </c>
      <c r="E13" t="s">
        <v>52</v>
      </c>
      <c r="F13" s="27">
        <v>1.99</v>
      </c>
      <c r="G13" s="25">
        <v>149</v>
      </c>
    </row>
    <row r="14" spans="1:7" ht="25.5">
      <c r="A14" s="9">
        <v>13</v>
      </c>
      <c r="B14" s="7" t="s">
        <v>80</v>
      </c>
      <c r="C14">
        <v>3</v>
      </c>
      <c r="D14">
        <v>2</v>
      </c>
      <c r="E14" t="s">
        <v>52</v>
      </c>
      <c r="F14" s="27">
        <v>0.99</v>
      </c>
      <c r="G14" s="25">
        <v>430</v>
      </c>
    </row>
    <row r="15" spans="1:7">
      <c r="A15" s="9">
        <v>14</v>
      </c>
      <c r="B15" s="7" t="s">
        <v>81</v>
      </c>
      <c r="C15">
        <v>4</v>
      </c>
      <c r="D15">
        <v>2</v>
      </c>
      <c r="E15" t="s">
        <v>52</v>
      </c>
      <c r="F15" s="27">
        <v>2.89</v>
      </c>
      <c r="G15" s="25">
        <v>161</v>
      </c>
    </row>
    <row r="16" spans="1:7" ht="25.5">
      <c r="A16" s="9">
        <v>15</v>
      </c>
      <c r="B16" s="7" t="s">
        <v>82</v>
      </c>
      <c r="C16">
        <v>5</v>
      </c>
      <c r="D16">
        <v>2</v>
      </c>
      <c r="E16" t="s">
        <v>52</v>
      </c>
      <c r="F16" s="27">
        <v>1.99</v>
      </c>
      <c r="G16" s="25">
        <v>380</v>
      </c>
    </row>
    <row r="17" spans="1:7">
      <c r="A17" s="9">
        <v>16</v>
      </c>
      <c r="B17" s="7" t="s">
        <v>83</v>
      </c>
      <c r="C17">
        <v>6</v>
      </c>
      <c r="D17">
        <v>2</v>
      </c>
      <c r="E17" t="s">
        <v>52</v>
      </c>
      <c r="F17" s="27">
        <v>2.09</v>
      </c>
      <c r="G17" s="25">
        <v>256</v>
      </c>
    </row>
    <row r="18" spans="1:7" ht="25.5">
      <c r="A18" s="9">
        <v>17</v>
      </c>
      <c r="B18" s="7" t="s">
        <v>84</v>
      </c>
      <c r="C18">
        <v>7</v>
      </c>
      <c r="D18">
        <v>2</v>
      </c>
      <c r="E18" t="s">
        <v>52</v>
      </c>
      <c r="F18" s="27">
        <v>1.89</v>
      </c>
      <c r="G18" s="25">
        <v>330</v>
      </c>
    </row>
    <row r="19" spans="1:7">
      <c r="A19" s="9">
        <v>18</v>
      </c>
      <c r="B19" s="7" t="s">
        <v>87</v>
      </c>
      <c r="C19">
        <v>8</v>
      </c>
      <c r="D19">
        <v>2</v>
      </c>
      <c r="E19" t="s">
        <v>52</v>
      </c>
      <c r="F19" s="27">
        <v>1.79</v>
      </c>
      <c r="G19" s="25">
        <v>59</v>
      </c>
    </row>
    <row r="20" spans="1:7">
      <c r="A20" s="9">
        <v>19</v>
      </c>
      <c r="B20" s="7" t="s">
        <v>85</v>
      </c>
      <c r="C20">
        <v>9</v>
      </c>
      <c r="D20">
        <v>2</v>
      </c>
      <c r="E20" t="s">
        <v>52</v>
      </c>
      <c r="F20" s="27">
        <v>7.19</v>
      </c>
      <c r="G20" s="25">
        <v>730</v>
      </c>
    </row>
    <row r="21" spans="1:7">
      <c r="A21" s="9">
        <v>20</v>
      </c>
      <c r="B21" s="7" t="s">
        <v>86</v>
      </c>
      <c r="C21">
        <v>10</v>
      </c>
      <c r="D21">
        <v>2</v>
      </c>
      <c r="E21" t="s">
        <v>52</v>
      </c>
      <c r="F21" s="27">
        <v>2.19</v>
      </c>
      <c r="G21" s="25">
        <v>250</v>
      </c>
    </row>
    <row r="22" spans="1:7" ht="25.5">
      <c r="A22" s="9">
        <v>21</v>
      </c>
      <c r="B22" s="8" t="s">
        <v>111</v>
      </c>
      <c r="C22">
        <v>1</v>
      </c>
      <c r="D22">
        <v>3</v>
      </c>
      <c r="E22" t="s">
        <v>53</v>
      </c>
      <c r="F22" s="27">
        <v>6.49</v>
      </c>
      <c r="G22" s="25">
        <v>568</v>
      </c>
    </row>
    <row r="23" spans="1:7">
      <c r="A23" s="9">
        <v>22</v>
      </c>
      <c r="B23" s="8" t="s">
        <v>112</v>
      </c>
      <c r="C23">
        <v>2</v>
      </c>
      <c r="D23">
        <v>3</v>
      </c>
      <c r="E23" t="s">
        <v>53</v>
      </c>
      <c r="F23" s="27">
        <v>4.1900000000000004</v>
      </c>
      <c r="G23" s="25">
        <v>677</v>
      </c>
    </row>
    <row r="24" spans="1:7" ht="25.5">
      <c r="A24" s="9">
        <v>23</v>
      </c>
      <c r="B24" s="9" t="s">
        <v>88</v>
      </c>
      <c r="C24">
        <v>3</v>
      </c>
      <c r="D24">
        <v>3</v>
      </c>
      <c r="E24" t="s">
        <v>53</v>
      </c>
      <c r="F24" s="27">
        <v>6.29</v>
      </c>
      <c r="G24" s="25">
        <v>906</v>
      </c>
    </row>
    <row r="25" spans="1:7">
      <c r="A25" s="9">
        <v>24</v>
      </c>
      <c r="B25" s="9" t="s">
        <v>89</v>
      </c>
      <c r="C25">
        <v>4</v>
      </c>
      <c r="D25">
        <v>3</v>
      </c>
      <c r="E25" t="s">
        <v>53</v>
      </c>
      <c r="F25" s="27">
        <v>1.99</v>
      </c>
      <c r="G25" s="25">
        <v>151</v>
      </c>
    </row>
    <row r="26" spans="1:7">
      <c r="A26" s="9">
        <v>25</v>
      </c>
      <c r="B26" s="9" t="s">
        <v>90</v>
      </c>
      <c r="C26">
        <v>5</v>
      </c>
      <c r="D26">
        <v>3</v>
      </c>
      <c r="E26" t="s">
        <v>53</v>
      </c>
      <c r="F26" s="27">
        <v>3.89</v>
      </c>
      <c r="G26" s="25">
        <v>510</v>
      </c>
    </row>
    <row r="27" spans="1:7" ht="25.5">
      <c r="A27" s="9">
        <v>26</v>
      </c>
      <c r="B27" s="9" t="s">
        <v>91</v>
      </c>
      <c r="C27">
        <v>6</v>
      </c>
      <c r="D27">
        <v>3</v>
      </c>
      <c r="E27" t="s">
        <v>53</v>
      </c>
      <c r="F27" s="27">
        <v>3.99</v>
      </c>
      <c r="G27" s="25">
        <v>590</v>
      </c>
    </row>
    <row r="28" spans="1:7" ht="25.5">
      <c r="A28" s="9">
        <v>27</v>
      </c>
      <c r="B28" s="9" t="s">
        <v>92</v>
      </c>
      <c r="C28">
        <v>7</v>
      </c>
      <c r="D28">
        <v>3</v>
      </c>
      <c r="E28" t="s">
        <v>53</v>
      </c>
      <c r="F28" s="27">
        <v>3.29</v>
      </c>
      <c r="G28" s="25">
        <v>169</v>
      </c>
    </row>
    <row r="29" spans="1:7" ht="25.5">
      <c r="A29" s="9">
        <v>28</v>
      </c>
      <c r="B29" s="9" t="s">
        <v>93</v>
      </c>
      <c r="C29">
        <v>8</v>
      </c>
      <c r="D29">
        <v>3</v>
      </c>
      <c r="E29" t="s">
        <v>53</v>
      </c>
      <c r="F29" s="27">
        <v>6.39</v>
      </c>
      <c r="G29" s="25">
        <v>570</v>
      </c>
    </row>
    <row r="30" spans="1:7" ht="25.5">
      <c r="A30" s="9">
        <v>29</v>
      </c>
      <c r="B30" s="9" t="s">
        <v>94</v>
      </c>
      <c r="C30">
        <v>9</v>
      </c>
      <c r="D30">
        <v>3</v>
      </c>
      <c r="E30" t="s">
        <v>53</v>
      </c>
      <c r="F30" s="27">
        <v>3.89</v>
      </c>
      <c r="G30" s="25">
        <v>370</v>
      </c>
    </row>
    <row r="31" spans="1:7" ht="25.5">
      <c r="A31" s="9">
        <v>30</v>
      </c>
      <c r="B31" s="9" t="s">
        <v>95</v>
      </c>
      <c r="C31">
        <v>10</v>
      </c>
      <c r="D31">
        <v>3</v>
      </c>
      <c r="E31" t="s">
        <v>53</v>
      </c>
      <c r="F31" s="27">
        <v>4.99</v>
      </c>
      <c r="G31" s="25">
        <v>1230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EC24E-2AC9-47A4-96BA-F2DFF0F39D10}">
  <dimension ref="A1:G601"/>
  <sheetViews>
    <sheetView topLeftCell="A169" workbookViewId="0">
      <selection activeCell="F56" sqref="F56"/>
    </sheetView>
  </sheetViews>
  <sheetFormatPr defaultRowHeight="15"/>
  <cols>
    <col min="1" max="1" width="15.42578125" customWidth="1"/>
    <col min="2" max="2" width="19.85546875" customWidth="1"/>
    <col min="3" max="3" width="11" customWidth="1"/>
    <col min="4" max="4" width="18.140625" customWidth="1"/>
    <col min="5" max="5" width="16.85546875" customWidth="1"/>
    <col min="6" max="6" width="17.42578125" customWidth="1"/>
    <col min="7" max="7" width="21.7109375" customWidth="1"/>
  </cols>
  <sheetData>
    <row r="1" spans="1:7">
      <c r="A1" s="2" t="s">
        <v>98</v>
      </c>
      <c r="B1" s="2" t="s">
        <v>0</v>
      </c>
      <c r="C1" s="12" t="s">
        <v>97</v>
      </c>
      <c r="D1" s="12" t="s">
        <v>99</v>
      </c>
      <c r="E1" t="s">
        <v>51</v>
      </c>
      <c r="F1" s="1" t="s">
        <v>52</v>
      </c>
      <c r="G1" s="1" t="s">
        <v>53</v>
      </c>
    </row>
    <row r="2" spans="1:7">
      <c r="A2" s="10">
        <v>1</v>
      </c>
      <c r="B2" s="3" t="s">
        <v>1</v>
      </c>
      <c r="C2">
        <v>1</v>
      </c>
      <c r="D2" s="5" t="s">
        <v>54</v>
      </c>
      <c r="E2" s="13">
        <v>53376074.505000003</v>
      </c>
      <c r="F2" s="13">
        <v>14182048.98</v>
      </c>
      <c r="G2" s="13">
        <v>18318076.760000002</v>
      </c>
    </row>
    <row r="3" spans="1:7">
      <c r="A3" s="4">
        <v>1</v>
      </c>
      <c r="B3" s="4" t="s">
        <v>1</v>
      </c>
      <c r="C3">
        <v>2</v>
      </c>
      <c r="D3" s="5" t="s">
        <v>55</v>
      </c>
      <c r="E3" s="13">
        <v>55948415.445</v>
      </c>
      <c r="F3" s="13">
        <v>14865521.220000001</v>
      </c>
      <c r="G3" s="13">
        <v>19200875.640000001</v>
      </c>
    </row>
    <row r="4" spans="1:7">
      <c r="A4" s="3">
        <v>1</v>
      </c>
      <c r="B4" s="3" t="s">
        <v>1</v>
      </c>
      <c r="C4">
        <v>3</v>
      </c>
      <c r="D4" s="5" t="s">
        <v>56</v>
      </c>
      <c r="E4" s="13">
        <v>52089904.034999996</v>
      </c>
      <c r="F4" s="13">
        <v>13840312.859999999</v>
      </c>
      <c r="G4" s="13">
        <v>17876677.32</v>
      </c>
    </row>
    <row r="5" spans="1:7">
      <c r="A5" s="4">
        <v>1</v>
      </c>
      <c r="B5" s="4" t="s">
        <v>1</v>
      </c>
      <c r="C5">
        <v>4</v>
      </c>
      <c r="D5" s="5" t="s">
        <v>57</v>
      </c>
      <c r="E5" s="13">
        <v>50803733.564999998</v>
      </c>
      <c r="F5" s="13">
        <v>13498576.74</v>
      </c>
      <c r="G5" s="13">
        <v>17435277.879999999</v>
      </c>
    </row>
    <row r="6" spans="1:7">
      <c r="A6" s="3">
        <v>1</v>
      </c>
      <c r="B6" s="3" t="s">
        <v>1</v>
      </c>
      <c r="C6">
        <v>5</v>
      </c>
      <c r="D6" s="5" t="s">
        <v>58</v>
      </c>
      <c r="E6" s="13">
        <v>51446818.799999997</v>
      </c>
      <c r="F6" s="13">
        <v>13669444.800000001</v>
      </c>
      <c r="G6" s="13">
        <v>17655977.600000001</v>
      </c>
    </row>
    <row r="7" spans="1:7">
      <c r="A7" s="4">
        <v>1</v>
      </c>
      <c r="B7" s="4" t="s">
        <v>1</v>
      </c>
      <c r="C7">
        <v>6</v>
      </c>
      <c r="D7" s="5" t="s">
        <v>59</v>
      </c>
      <c r="E7" s="13">
        <v>50160648.329999998</v>
      </c>
      <c r="F7" s="13">
        <v>13327708.68</v>
      </c>
      <c r="G7" s="13">
        <v>17214578.16</v>
      </c>
    </row>
    <row r="8" spans="1:7">
      <c r="A8" s="3">
        <v>1</v>
      </c>
      <c r="B8" s="3" t="s">
        <v>1</v>
      </c>
      <c r="C8">
        <v>7</v>
      </c>
      <c r="D8" s="5" t="s">
        <v>60</v>
      </c>
      <c r="E8" s="13">
        <v>56591500.68</v>
      </c>
      <c r="F8" s="13">
        <v>15036389.279999999</v>
      </c>
      <c r="G8" s="13">
        <v>19421575.359999999</v>
      </c>
    </row>
    <row r="9" spans="1:7">
      <c r="A9" s="4">
        <v>1</v>
      </c>
      <c r="B9" s="4" t="s">
        <v>1</v>
      </c>
      <c r="C9">
        <v>8</v>
      </c>
      <c r="D9" s="5" t="s">
        <v>61</v>
      </c>
      <c r="E9" s="13">
        <v>50160648.329999998</v>
      </c>
      <c r="F9" s="13">
        <v>13327708.68</v>
      </c>
      <c r="G9" s="13">
        <v>17214578.16</v>
      </c>
    </row>
    <row r="10" spans="1:7">
      <c r="A10" s="3">
        <v>1</v>
      </c>
      <c r="B10" s="3" t="s">
        <v>1</v>
      </c>
      <c r="C10">
        <v>9</v>
      </c>
      <c r="D10" s="5" t="s">
        <v>62</v>
      </c>
      <c r="E10" s="13">
        <v>53376074.505000003</v>
      </c>
      <c r="F10" s="13">
        <v>14182048.98</v>
      </c>
      <c r="G10" s="13">
        <v>18318076.760000002</v>
      </c>
    </row>
    <row r="11" spans="1:7">
      <c r="A11" s="4">
        <v>1</v>
      </c>
      <c r="B11" s="4" t="s">
        <v>1</v>
      </c>
      <c r="C11">
        <v>10</v>
      </c>
      <c r="D11" s="5" t="s">
        <v>63</v>
      </c>
      <c r="E11" s="13">
        <v>54662244.975000001</v>
      </c>
      <c r="F11" s="13">
        <v>14523785.1</v>
      </c>
      <c r="G11" s="13">
        <v>18759476.199999999</v>
      </c>
    </row>
    <row r="12" spans="1:7">
      <c r="A12" s="3">
        <v>1</v>
      </c>
      <c r="B12" s="3" t="s">
        <v>1</v>
      </c>
      <c r="C12">
        <v>11</v>
      </c>
      <c r="D12" s="5" t="s">
        <v>64</v>
      </c>
      <c r="E12" s="13">
        <v>58520756.384999998</v>
      </c>
      <c r="F12" s="13">
        <v>15548993.460000001</v>
      </c>
      <c r="G12" s="13">
        <v>20083674.52</v>
      </c>
    </row>
    <row r="13" spans="1:7">
      <c r="A13" s="4">
        <v>1</v>
      </c>
      <c r="B13" s="4" t="s">
        <v>1</v>
      </c>
      <c r="C13">
        <v>12</v>
      </c>
      <c r="D13" s="5" t="s">
        <v>65</v>
      </c>
      <c r="E13" s="13">
        <v>55948415.445</v>
      </c>
      <c r="F13" s="13">
        <v>14865521.220000001</v>
      </c>
      <c r="G13" s="13">
        <v>19200875.640000001</v>
      </c>
    </row>
    <row r="14" spans="1:7">
      <c r="A14" s="3">
        <v>2</v>
      </c>
      <c r="B14" s="4" t="s">
        <v>2</v>
      </c>
      <c r="C14">
        <v>1</v>
      </c>
      <c r="D14" s="5" t="s">
        <v>54</v>
      </c>
      <c r="E14" s="13">
        <v>5930674.9450000003</v>
      </c>
      <c r="F14" s="13">
        <v>1146024.1599999999</v>
      </c>
      <c r="G14" s="13">
        <v>893564.72</v>
      </c>
    </row>
    <row r="15" spans="1:7">
      <c r="A15" s="4">
        <v>2</v>
      </c>
      <c r="B15" s="4" t="s">
        <v>2</v>
      </c>
      <c r="C15">
        <v>2</v>
      </c>
      <c r="D15" s="5" t="s">
        <v>55</v>
      </c>
      <c r="E15" s="13">
        <v>6216490.6050000004</v>
      </c>
      <c r="F15" s="13">
        <v>1201254.24</v>
      </c>
      <c r="G15" s="13">
        <v>936628.08</v>
      </c>
    </row>
    <row r="16" spans="1:7">
      <c r="A16" s="3">
        <v>2</v>
      </c>
      <c r="B16" s="4" t="s">
        <v>2</v>
      </c>
      <c r="C16">
        <v>3</v>
      </c>
      <c r="D16" s="5" t="s">
        <v>56</v>
      </c>
      <c r="E16" s="13">
        <v>5787767.1150000002</v>
      </c>
      <c r="F16" s="13">
        <v>1118409.1200000001</v>
      </c>
      <c r="G16" s="13">
        <v>872033.04</v>
      </c>
    </row>
    <row r="17" spans="1:7">
      <c r="A17" s="4">
        <v>2</v>
      </c>
      <c r="B17" s="4" t="s">
        <v>2</v>
      </c>
      <c r="C17">
        <v>4</v>
      </c>
      <c r="D17" s="5" t="s">
        <v>57</v>
      </c>
      <c r="E17" s="13">
        <v>5644859.2850000001</v>
      </c>
      <c r="F17" s="13">
        <v>1090794.08</v>
      </c>
      <c r="G17" s="13">
        <v>850501.36</v>
      </c>
    </row>
    <row r="18" spans="1:7">
      <c r="A18" s="3">
        <v>2</v>
      </c>
      <c r="B18" s="4" t="s">
        <v>2</v>
      </c>
      <c r="C18">
        <v>5</v>
      </c>
      <c r="D18" s="5" t="s">
        <v>58</v>
      </c>
      <c r="E18" s="13">
        <v>5716313.2000000002</v>
      </c>
      <c r="F18" s="13">
        <v>1104601.6000000001</v>
      </c>
      <c r="G18" s="13">
        <v>861267.2</v>
      </c>
    </row>
    <row r="19" spans="1:7">
      <c r="A19" s="4">
        <v>2</v>
      </c>
      <c r="B19" s="4" t="s">
        <v>2</v>
      </c>
      <c r="C19">
        <v>6</v>
      </c>
      <c r="D19" s="5" t="s">
        <v>59</v>
      </c>
      <c r="E19" s="13">
        <v>5573405.3700000001</v>
      </c>
      <c r="F19" s="13">
        <v>1076986.56</v>
      </c>
      <c r="G19" s="13">
        <v>839735.52</v>
      </c>
    </row>
    <row r="20" spans="1:7">
      <c r="A20" s="3">
        <v>2</v>
      </c>
      <c r="B20" s="4" t="s">
        <v>2</v>
      </c>
      <c r="C20">
        <v>7</v>
      </c>
      <c r="D20" s="5" t="s">
        <v>60</v>
      </c>
      <c r="E20" s="13">
        <v>6287944.5199999996</v>
      </c>
      <c r="F20" s="13">
        <v>1215061.76</v>
      </c>
      <c r="G20" s="13">
        <v>947393.92</v>
      </c>
    </row>
    <row r="21" spans="1:7">
      <c r="A21" s="4">
        <v>2</v>
      </c>
      <c r="B21" s="4" t="s">
        <v>2</v>
      </c>
      <c r="C21">
        <v>8</v>
      </c>
      <c r="D21" s="5" t="s">
        <v>61</v>
      </c>
      <c r="E21" s="13">
        <v>5573405.3700000001</v>
      </c>
      <c r="F21" s="13">
        <v>1076986.56</v>
      </c>
      <c r="G21" s="13">
        <v>839735.52</v>
      </c>
    </row>
    <row r="22" spans="1:7">
      <c r="A22" s="3">
        <v>2</v>
      </c>
      <c r="B22" s="4" t="s">
        <v>2</v>
      </c>
      <c r="C22">
        <v>9</v>
      </c>
      <c r="D22" s="5" t="s">
        <v>62</v>
      </c>
      <c r="E22" s="13">
        <v>5930674.9450000003</v>
      </c>
      <c r="F22" s="13">
        <v>1146024.1599999999</v>
      </c>
      <c r="G22" s="13">
        <v>893564.72</v>
      </c>
    </row>
    <row r="23" spans="1:7">
      <c r="A23" s="4">
        <v>2</v>
      </c>
      <c r="B23" s="4" t="s">
        <v>2</v>
      </c>
      <c r="C23">
        <v>10</v>
      </c>
      <c r="D23" s="5" t="s">
        <v>63</v>
      </c>
      <c r="E23" s="13">
        <v>6073582.7750000004</v>
      </c>
      <c r="F23" s="13">
        <v>1173639.2</v>
      </c>
      <c r="G23" s="13">
        <v>915096.4</v>
      </c>
    </row>
    <row r="24" spans="1:7">
      <c r="A24" s="3">
        <v>2</v>
      </c>
      <c r="B24" s="4" t="s">
        <v>2</v>
      </c>
      <c r="C24">
        <v>11</v>
      </c>
      <c r="D24" s="5" t="s">
        <v>64</v>
      </c>
      <c r="E24" s="13">
        <v>6502306.2649999997</v>
      </c>
      <c r="F24" s="13">
        <v>1256484.32</v>
      </c>
      <c r="G24" s="13">
        <v>979691.44</v>
      </c>
    </row>
    <row r="25" spans="1:7">
      <c r="A25" s="11">
        <v>2</v>
      </c>
      <c r="B25" s="4" t="s">
        <v>2</v>
      </c>
      <c r="C25">
        <v>12</v>
      </c>
      <c r="D25" s="5" t="s">
        <v>65</v>
      </c>
      <c r="E25" s="13">
        <v>6216490.6050000004</v>
      </c>
      <c r="F25" s="13">
        <v>1201254.24</v>
      </c>
      <c r="G25" s="13">
        <v>936628.08</v>
      </c>
    </row>
    <row r="26" spans="1:7">
      <c r="A26" s="10">
        <v>3</v>
      </c>
      <c r="B26" s="3" t="s">
        <v>3</v>
      </c>
      <c r="C26">
        <v>1</v>
      </c>
      <c r="D26" s="5" t="s">
        <v>54</v>
      </c>
      <c r="E26" s="13">
        <v>55863131.740000002</v>
      </c>
      <c r="F26" s="13">
        <v>13465783.880000001</v>
      </c>
      <c r="G26" s="13">
        <v>18653163.530000001</v>
      </c>
    </row>
    <row r="27" spans="1:7">
      <c r="A27" s="4">
        <v>3</v>
      </c>
      <c r="B27" s="3" t="s">
        <v>3</v>
      </c>
      <c r="C27">
        <v>2</v>
      </c>
      <c r="D27" s="5" t="s">
        <v>55</v>
      </c>
      <c r="E27" s="13">
        <v>58555330.859999999</v>
      </c>
      <c r="F27" s="13">
        <v>14114737.32</v>
      </c>
      <c r="G27" s="13">
        <v>19552111.170000002</v>
      </c>
    </row>
    <row r="28" spans="1:7">
      <c r="A28" s="3">
        <v>3</v>
      </c>
      <c r="B28" s="3" t="s">
        <v>3</v>
      </c>
      <c r="C28">
        <v>3</v>
      </c>
      <c r="D28" s="5" t="s">
        <v>56</v>
      </c>
      <c r="E28" s="13">
        <v>54517032.18</v>
      </c>
      <c r="F28" s="13">
        <v>13141307.16</v>
      </c>
      <c r="G28" s="13">
        <v>18203689.710000001</v>
      </c>
    </row>
    <row r="29" spans="1:7">
      <c r="A29" s="4">
        <v>3</v>
      </c>
      <c r="B29" s="3" t="s">
        <v>3</v>
      </c>
      <c r="C29">
        <v>4</v>
      </c>
      <c r="D29" s="5" t="s">
        <v>57</v>
      </c>
      <c r="E29" s="13">
        <v>53170932.619999997</v>
      </c>
      <c r="F29" s="13">
        <v>12816830.439999999</v>
      </c>
      <c r="G29" s="13">
        <v>17754215.890000001</v>
      </c>
    </row>
    <row r="30" spans="1:7">
      <c r="A30" s="3">
        <v>3</v>
      </c>
      <c r="B30" s="3" t="s">
        <v>3</v>
      </c>
      <c r="C30">
        <v>5</v>
      </c>
      <c r="D30" s="5" t="s">
        <v>58</v>
      </c>
      <c r="E30" s="13">
        <v>53843982.399999999</v>
      </c>
      <c r="F30" s="13">
        <v>12979068.800000001</v>
      </c>
      <c r="G30" s="13">
        <v>17978952.800000001</v>
      </c>
    </row>
    <row r="31" spans="1:7">
      <c r="A31" s="4">
        <v>3</v>
      </c>
      <c r="B31" s="3" t="s">
        <v>3</v>
      </c>
      <c r="C31">
        <v>6</v>
      </c>
      <c r="D31" s="5" t="s">
        <v>59</v>
      </c>
      <c r="E31" s="13">
        <v>52497882.840000004</v>
      </c>
      <c r="F31" s="13">
        <v>12654592.08</v>
      </c>
      <c r="G31" s="13">
        <v>17529478.98</v>
      </c>
    </row>
    <row r="32" spans="1:7">
      <c r="A32" s="3">
        <v>3</v>
      </c>
      <c r="B32" s="3" t="s">
        <v>3</v>
      </c>
      <c r="C32">
        <v>7</v>
      </c>
      <c r="D32" s="5" t="s">
        <v>60</v>
      </c>
      <c r="E32" s="13">
        <v>59228380.640000001</v>
      </c>
      <c r="F32" s="13">
        <v>14276975.68</v>
      </c>
      <c r="G32" s="13">
        <v>19776848.079999998</v>
      </c>
    </row>
    <row r="33" spans="1:7">
      <c r="A33" s="4">
        <v>3</v>
      </c>
      <c r="B33" s="3" t="s">
        <v>3</v>
      </c>
      <c r="C33">
        <v>8</v>
      </c>
      <c r="D33" s="5" t="s">
        <v>61</v>
      </c>
      <c r="E33" s="13">
        <v>52497882.840000004</v>
      </c>
      <c r="F33" s="13">
        <v>12654592.08</v>
      </c>
      <c r="G33" s="13">
        <v>17529478.98</v>
      </c>
    </row>
    <row r="34" spans="1:7">
      <c r="A34" s="3">
        <v>3</v>
      </c>
      <c r="B34" s="3" t="s">
        <v>3</v>
      </c>
      <c r="C34">
        <v>9</v>
      </c>
      <c r="D34" s="5" t="s">
        <v>62</v>
      </c>
      <c r="E34" s="13">
        <v>55863131.740000002</v>
      </c>
      <c r="F34" s="13">
        <v>13465783.880000001</v>
      </c>
      <c r="G34" s="13">
        <v>18653163.530000001</v>
      </c>
    </row>
    <row r="35" spans="1:7">
      <c r="A35" s="4">
        <v>3</v>
      </c>
      <c r="B35" s="3" t="s">
        <v>3</v>
      </c>
      <c r="C35">
        <v>10</v>
      </c>
      <c r="D35" s="5" t="s">
        <v>63</v>
      </c>
      <c r="E35" s="13">
        <v>57209231.299999997</v>
      </c>
      <c r="F35" s="13">
        <v>13790260.6</v>
      </c>
      <c r="G35" s="13">
        <v>19102637.350000001</v>
      </c>
    </row>
    <row r="36" spans="1:7">
      <c r="A36" s="3">
        <v>3</v>
      </c>
      <c r="B36" s="3" t="s">
        <v>3</v>
      </c>
      <c r="C36">
        <v>11</v>
      </c>
      <c r="D36" s="5" t="s">
        <v>64</v>
      </c>
      <c r="E36" s="13">
        <v>61247529.979999997</v>
      </c>
      <c r="F36" s="13">
        <v>14763690.76</v>
      </c>
      <c r="G36" s="13">
        <v>20451058.809999999</v>
      </c>
    </row>
    <row r="37" spans="1:7">
      <c r="A37" s="4">
        <v>3</v>
      </c>
      <c r="B37" s="3" t="s">
        <v>3</v>
      </c>
      <c r="C37">
        <v>12</v>
      </c>
      <c r="D37" s="5" t="s">
        <v>65</v>
      </c>
      <c r="E37" s="13">
        <v>58555330.859999999</v>
      </c>
      <c r="F37" s="13">
        <v>14114737.32</v>
      </c>
      <c r="G37" s="13">
        <v>19552111.170000002</v>
      </c>
    </row>
    <row r="38" spans="1:7">
      <c r="A38" s="3">
        <v>4</v>
      </c>
      <c r="B38" s="4" t="s">
        <v>4</v>
      </c>
      <c r="C38">
        <v>1</v>
      </c>
      <c r="D38" s="5" t="s">
        <v>54</v>
      </c>
      <c r="E38" s="13">
        <v>35201425.479999997</v>
      </c>
      <c r="F38" s="13">
        <v>9024940.2599999998</v>
      </c>
      <c r="G38" s="13">
        <v>8935647.1999999993</v>
      </c>
    </row>
    <row r="39" spans="1:7">
      <c r="A39" s="4">
        <v>4</v>
      </c>
      <c r="B39" s="4" t="s">
        <v>4</v>
      </c>
      <c r="C39">
        <v>2</v>
      </c>
      <c r="D39" s="5" t="s">
        <v>55</v>
      </c>
      <c r="E39" s="13">
        <v>36897879.719999999</v>
      </c>
      <c r="F39" s="13">
        <v>9459877.1400000006</v>
      </c>
      <c r="G39" s="13">
        <v>9366280.8000000007</v>
      </c>
    </row>
    <row r="40" spans="1:7">
      <c r="A40" s="3">
        <v>4</v>
      </c>
      <c r="B40" s="4" t="s">
        <v>4</v>
      </c>
      <c r="C40">
        <v>3</v>
      </c>
      <c r="D40" s="5" t="s">
        <v>56</v>
      </c>
      <c r="E40" s="13">
        <v>34353198.359999999</v>
      </c>
      <c r="F40" s="13">
        <v>8807471.8200000003</v>
      </c>
      <c r="G40" s="13">
        <v>8720330.4000000004</v>
      </c>
    </row>
    <row r="41" spans="1:7">
      <c r="A41" s="4">
        <v>4</v>
      </c>
      <c r="B41" s="4" t="s">
        <v>4</v>
      </c>
      <c r="C41">
        <v>4</v>
      </c>
      <c r="D41" s="5" t="s">
        <v>57</v>
      </c>
      <c r="E41" s="13">
        <v>33504971.239999998</v>
      </c>
      <c r="F41" s="13">
        <v>8590003.3800000008</v>
      </c>
      <c r="G41" s="13">
        <v>8505013.5999999996</v>
      </c>
    </row>
    <row r="42" spans="1:7">
      <c r="A42" s="3">
        <v>4</v>
      </c>
      <c r="B42" s="4" t="s">
        <v>4</v>
      </c>
      <c r="C42">
        <v>5</v>
      </c>
      <c r="D42" s="5" t="s">
        <v>58</v>
      </c>
      <c r="E42" s="13">
        <v>33929084.799999997</v>
      </c>
      <c r="F42" s="13">
        <v>8698737.5999999996</v>
      </c>
      <c r="G42" s="13">
        <v>8612672</v>
      </c>
    </row>
    <row r="43" spans="1:7">
      <c r="A43" s="4">
        <v>4</v>
      </c>
      <c r="B43" s="4" t="s">
        <v>4</v>
      </c>
      <c r="C43">
        <v>6</v>
      </c>
      <c r="D43" s="5" t="s">
        <v>59</v>
      </c>
      <c r="E43" s="13">
        <v>33080857.68</v>
      </c>
      <c r="F43" s="13">
        <v>8481269.1600000001</v>
      </c>
      <c r="G43" s="13">
        <v>8397355.1999999993</v>
      </c>
    </row>
    <row r="44" spans="1:7">
      <c r="A44" s="3">
        <v>4</v>
      </c>
      <c r="B44" s="4" t="s">
        <v>4</v>
      </c>
      <c r="C44">
        <v>7</v>
      </c>
      <c r="D44" s="5" t="s">
        <v>60</v>
      </c>
      <c r="E44" s="13">
        <v>37321993.280000001</v>
      </c>
      <c r="F44" s="13">
        <v>9568611.3599999994</v>
      </c>
      <c r="G44" s="13">
        <v>9473939.1999999993</v>
      </c>
    </row>
    <row r="45" spans="1:7">
      <c r="A45" s="4">
        <v>4</v>
      </c>
      <c r="B45" s="4" t="s">
        <v>4</v>
      </c>
      <c r="C45">
        <v>8</v>
      </c>
      <c r="D45" s="5" t="s">
        <v>61</v>
      </c>
      <c r="E45" s="13">
        <v>33080857.68</v>
      </c>
      <c r="F45" s="13">
        <v>8481269.1600000001</v>
      </c>
      <c r="G45" s="13">
        <v>8397355.1999999993</v>
      </c>
    </row>
    <row r="46" spans="1:7">
      <c r="A46" s="3">
        <v>4</v>
      </c>
      <c r="B46" s="4" t="s">
        <v>4</v>
      </c>
      <c r="C46">
        <v>9</v>
      </c>
      <c r="D46" s="5" t="s">
        <v>62</v>
      </c>
      <c r="E46" s="13">
        <v>35201425.479999997</v>
      </c>
      <c r="F46" s="13">
        <v>9024940.2599999998</v>
      </c>
      <c r="G46" s="13">
        <v>8935647.1999999993</v>
      </c>
    </row>
    <row r="47" spans="1:7">
      <c r="A47" s="4">
        <v>4</v>
      </c>
      <c r="B47" s="4" t="s">
        <v>4</v>
      </c>
      <c r="C47">
        <v>10</v>
      </c>
      <c r="D47" s="5" t="s">
        <v>63</v>
      </c>
      <c r="E47" s="13">
        <v>36049652.600000001</v>
      </c>
      <c r="F47" s="13">
        <v>9242408.6999999993</v>
      </c>
      <c r="G47" s="13">
        <v>9150964</v>
      </c>
    </row>
    <row r="48" spans="1:7">
      <c r="A48" s="3">
        <v>4</v>
      </c>
      <c r="B48" s="4" t="s">
        <v>4</v>
      </c>
      <c r="C48">
        <v>11</v>
      </c>
      <c r="D48" s="5" t="s">
        <v>64</v>
      </c>
      <c r="E48" s="13">
        <v>38594333.960000001</v>
      </c>
      <c r="F48" s="13">
        <v>9894814.0199999996</v>
      </c>
      <c r="G48" s="13">
        <v>9796914.4000000004</v>
      </c>
    </row>
    <row r="49" spans="1:7">
      <c r="A49" s="11">
        <v>4</v>
      </c>
      <c r="B49" s="11" t="s">
        <v>4</v>
      </c>
      <c r="C49">
        <v>12</v>
      </c>
      <c r="D49" s="5" t="s">
        <v>65</v>
      </c>
      <c r="E49" s="13">
        <v>36897879.719999999</v>
      </c>
      <c r="F49" s="13">
        <v>9459877.1400000006</v>
      </c>
      <c r="G49" s="13">
        <v>9366280.8000000007</v>
      </c>
    </row>
    <row r="50" spans="1:7">
      <c r="A50" s="3">
        <v>5</v>
      </c>
      <c r="B50" s="4" t="s">
        <v>5</v>
      </c>
      <c r="C50">
        <v>1</v>
      </c>
      <c r="D50" s="5" t="s">
        <v>54</v>
      </c>
      <c r="E50" s="13">
        <v>285437645.74000001</v>
      </c>
      <c r="F50" s="13">
        <v>37389038.219999999</v>
      </c>
      <c r="G50" s="13">
        <v>65006833.380000003</v>
      </c>
    </row>
    <row r="51" spans="1:7">
      <c r="A51" s="4">
        <v>5</v>
      </c>
      <c r="B51" s="4" t="s">
        <v>5</v>
      </c>
      <c r="C51">
        <v>2</v>
      </c>
      <c r="D51" s="5" t="s">
        <v>55</v>
      </c>
      <c r="E51" s="13">
        <v>299193676.86000001</v>
      </c>
      <c r="F51" s="13">
        <v>39190919.579999998</v>
      </c>
      <c r="G51" s="13">
        <v>68139692.819999993</v>
      </c>
    </row>
    <row r="52" spans="1:7">
      <c r="A52" s="3">
        <v>5</v>
      </c>
      <c r="B52" s="4" t="s">
        <v>5</v>
      </c>
      <c r="C52">
        <v>3</v>
      </c>
      <c r="D52" s="5" t="s">
        <v>56</v>
      </c>
      <c r="E52" s="13">
        <v>278559630.18000001</v>
      </c>
      <c r="F52" s="13">
        <v>36488097.539999999</v>
      </c>
      <c r="G52" s="13">
        <v>63440403.659999996</v>
      </c>
    </row>
    <row r="53" spans="1:7">
      <c r="A53" s="4">
        <v>5</v>
      </c>
      <c r="B53" s="4" t="s">
        <v>5</v>
      </c>
      <c r="C53">
        <v>4</v>
      </c>
      <c r="D53" s="5" t="s">
        <v>57</v>
      </c>
      <c r="E53" s="13">
        <v>271681614.62</v>
      </c>
      <c r="F53" s="13">
        <v>35587156.859999999</v>
      </c>
      <c r="G53" s="13">
        <v>61873973.939999998</v>
      </c>
    </row>
    <row r="54" spans="1:7">
      <c r="A54" s="3">
        <v>5</v>
      </c>
      <c r="B54" s="4" t="s">
        <v>5</v>
      </c>
      <c r="C54">
        <v>5</v>
      </c>
      <c r="D54" s="5" t="s">
        <v>58</v>
      </c>
      <c r="E54" s="13">
        <v>275120622.39999998</v>
      </c>
      <c r="F54" s="13">
        <v>36037627.200000003</v>
      </c>
      <c r="G54" s="13">
        <v>62657188.799999997</v>
      </c>
    </row>
    <row r="55" spans="1:7">
      <c r="A55" s="4">
        <v>5</v>
      </c>
      <c r="B55" s="4" t="s">
        <v>5</v>
      </c>
      <c r="C55">
        <v>6</v>
      </c>
      <c r="D55" s="5" t="s">
        <v>59</v>
      </c>
      <c r="E55" s="13">
        <v>268242606.84</v>
      </c>
      <c r="F55" s="13">
        <v>35136686.520000003</v>
      </c>
      <c r="G55" s="13">
        <v>61090759.079999998</v>
      </c>
    </row>
    <row r="56" spans="1:7">
      <c r="A56" s="3">
        <v>5</v>
      </c>
      <c r="B56" s="4" t="s">
        <v>5</v>
      </c>
      <c r="C56">
        <v>7</v>
      </c>
      <c r="D56" s="5" t="s">
        <v>60</v>
      </c>
      <c r="E56" s="13">
        <v>302632684.63999999</v>
      </c>
      <c r="F56" s="13">
        <v>39641389.920000002</v>
      </c>
      <c r="G56" s="13">
        <v>68922907.680000007</v>
      </c>
    </row>
    <row r="57" spans="1:7">
      <c r="A57" s="4">
        <v>5</v>
      </c>
      <c r="B57" s="4" t="s">
        <v>5</v>
      </c>
      <c r="C57">
        <v>8</v>
      </c>
      <c r="D57" s="5" t="s">
        <v>61</v>
      </c>
      <c r="E57" s="13">
        <v>268242606.84</v>
      </c>
      <c r="F57" s="13">
        <v>35136686.520000003</v>
      </c>
      <c r="G57" s="13">
        <v>61090759.079999998</v>
      </c>
    </row>
    <row r="58" spans="1:7">
      <c r="A58" s="3">
        <v>5</v>
      </c>
      <c r="B58" s="4" t="s">
        <v>5</v>
      </c>
      <c r="C58">
        <v>9</v>
      </c>
      <c r="D58" s="5" t="s">
        <v>62</v>
      </c>
      <c r="E58" s="13">
        <v>285437645.74000001</v>
      </c>
      <c r="F58" s="13">
        <v>37389038.219999999</v>
      </c>
      <c r="G58" s="13">
        <v>65006833.380000003</v>
      </c>
    </row>
    <row r="59" spans="1:7">
      <c r="A59" s="4">
        <v>5</v>
      </c>
      <c r="B59" s="4" t="s">
        <v>5</v>
      </c>
      <c r="C59">
        <v>10</v>
      </c>
      <c r="D59" s="5" t="s">
        <v>63</v>
      </c>
      <c r="E59" s="13">
        <v>292315661.30000001</v>
      </c>
      <c r="F59" s="13">
        <v>38289978.899999999</v>
      </c>
      <c r="G59" s="13">
        <v>66573263.100000001</v>
      </c>
    </row>
    <row r="60" spans="1:7">
      <c r="A60" s="3">
        <v>5</v>
      </c>
      <c r="B60" s="4" t="s">
        <v>5</v>
      </c>
      <c r="C60">
        <v>11</v>
      </c>
      <c r="D60" s="5" t="s">
        <v>64</v>
      </c>
      <c r="E60" s="13">
        <v>312949707.98000002</v>
      </c>
      <c r="F60" s="13">
        <v>40992800.939999998</v>
      </c>
      <c r="G60" s="13">
        <v>71272552.260000005</v>
      </c>
    </row>
    <row r="61" spans="1:7">
      <c r="A61" s="11">
        <v>5</v>
      </c>
      <c r="B61" s="4" t="s">
        <v>5</v>
      </c>
      <c r="C61">
        <v>12</v>
      </c>
      <c r="D61" s="5" t="s">
        <v>65</v>
      </c>
      <c r="E61" s="13">
        <v>299193676.86000001</v>
      </c>
      <c r="F61" s="13">
        <v>39190919.579999998</v>
      </c>
      <c r="G61" s="13">
        <v>68139692.819999993</v>
      </c>
    </row>
    <row r="62" spans="1:7">
      <c r="A62" s="3">
        <v>6</v>
      </c>
      <c r="B62" s="4" t="s">
        <v>6</v>
      </c>
      <c r="C62">
        <v>1</v>
      </c>
      <c r="D62" s="5" t="s">
        <v>54</v>
      </c>
      <c r="E62" s="13">
        <v>45340966.515000001</v>
      </c>
      <c r="F62" s="13">
        <v>18193133.539999999</v>
      </c>
      <c r="G62" s="13">
        <v>13738557.57</v>
      </c>
    </row>
    <row r="63" spans="1:7">
      <c r="A63" s="4">
        <v>6</v>
      </c>
      <c r="B63" s="4" t="s">
        <v>6</v>
      </c>
      <c r="C63">
        <v>2</v>
      </c>
      <c r="D63" s="5" t="s">
        <v>55</v>
      </c>
      <c r="E63" s="13">
        <v>47526073.335000001</v>
      </c>
      <c r="F63" s="13">
        <v>19069911.059999999</v>
      </c>
      <c r="G63" s="13">
        <v>14400656.73</v>
      </c>
    </row>
    <row r="64" spans="1:7">
      <c r="A64" s="3">
        <v>6</v>
      </c>
      <c r="B64" s="4" t="s">
        <v>6</v>
      </c>
      <c r="C64">
        <v>3</v>
      </c>
      <c r="D64" s="5" t="s">
        <v>56</v>
      </c>
      <c r="E64" s="13">
        <v>44248413.104999997</v>
      </c>
      <c r="F64" s="13">
        <v>17754744.780000001</v>
      </c>
      <c r="G64" s="13">
        <v>13407507.99</v>
      </c>
    </row>
    <row r="65" spans="1:7">
      <c r="A65" s="4">
        <v>6</v>
      </c>
      <c r="B65" s="4" t="s">
        <v>6</v>
      </c>
      <c r="C65">
        <v>4</v>
      </c>
      <c r="D65" s="5" t="s">
        <v>57</v>
      </c>
      <c r="E65" s="13">
        <v>43155859.695</v>
      </c>
      <c r="F65" s="13">
        <v>17316356.02</v>
      </c>
      <c r="G65" s="13">
        <v>13076458.41</v>
      </c>
    </row>
    <row r="66" spans="1:7">
      <c r="A66" s="3">
        <v>6</v>
      </c>
      <c r="B66" s="4" t="s">
        <v>6</v>
      </c>
      <c r="C66">
        <v>5</v>
      </c>
      <c r="D66" s="5" t="s">
        <v>58</v>
      </c>
      <c r="E66" s="13">
        <v>43702136.399999999</v>
      </c>
      <c r="F66" s="13">
        <v>17535550.399999999</v>
      </c>
      <c r="G66" s="13">
        <v>13241983.199999999</v>
      </c>
    </row>
    <row r="67" spans="1:7">
      <c r="A67" s="4">
        <v>6</v>
      </c>
      <c r="B67" s="4" t="s">
        <v>6</v>
      </c>
      <c r="C67">
        <v>6</v>
      </c>
      <c r="D67" s="5" t="s">
        <v>59</v>
      </c>
      <c r="E67" s="13">
        <v>42609582.990000002</v>
      </c>
      <c r="F67" s="13">
        <v>17097161.640000001</v>
      </c>
      <c r="G67" s="13">
        <v>12910933.619999999</v>
      </c>
    </row>
    <row r="68" spans="1:7">
      <c r="A68" s="3">
        <v>6</v>
      </c>
      <c r="B68" s="4" t="s">
        <v>6</v>
      </c>
      <c r="C68">
        <v>7</v>
      </c>
      <c r="D68" s="5" t="s">
        <v>60</v>
      </c>
      <c r="E68" s="13">
        <v>48072350.039999999</v>
      </c>
      <c r="F68" s="13">
        <v>19289105.440000001</v>
      </c>
      <c r="G68" s="13">
        <v>14566181.52</v>
      </c>
    </row>
    <row r="69" spans="1:7">
      <c r="A69" s="4">
        <v>6</v>
      </c>
      <c r="B69" s="4" t="s">
        <v>6</v>
      </c>
      <c r="C69">
        <v>8</v>
      </c>
      <c r="D69" s="5" t="s">
        <v>61</v>
      </c>
      <c r="E69" s="13">
        <v>42609582.990000002</v>
      </c>
      <c r="F69" s="13">
        <v>17097161.640000001</v>
      </c>
      <c r="G69" s="13">
        <v>12910933.619999999</v>
      </c>
    </row>
    <row r="70" spans="1:7">
      <c r="A70" s="3">
        <v>6</v>
      </c>
      <c r="B70" s="4" t="s">
        <v>6</v>
      </c>
      <c r="C70">
        <v>9</v>
      </c>
      <c r="D70" s="5" t="s">
        <v>62</v>
      </c>
      <c r="E70" s="13">
        <v>45340966.515000001</v>
      </c>
      <c r="F70" s="13">
        <v>18193133.539999999</v>
      </c>
      <c r="G70" s="13">
        <v>13738557.57</v>
      </c>
    </row>
    <row r="71" spans="1:7">
      <c r="A71" s="4">
        <v>6</v>
      </c>
      <c r="B71" s="4" t="s">
        <v>6</v>
      </c>
      <c r="C71">
        <v>10</v>
      </c>
      <c r="D71" s="5" t="s">
        <v>63</v>
      </c>
      <c r="E71" s="13">
        <v>46433519.924999997</v>
      </c>
      <c r="F71" s="13">
        <v>18631522.300000001</v>
      </c>
      <c r="G71" s="13">
        <v>14069607.15</v>
      </c>
    </row>
    <row r="72" spans="1:7">
      <c r="A72" s="3">
        <v>6</v>
      </c>
      <c r="B72" s="4" t="s">
        <v>6</v>
      </c>
      <c r="C72">
        <v>11</v>
      </c>
      <c r="D72" s="5" t="s">
        <v>64</v>
      </c>
      <c r="E72" s="13">
        <v>49711180.155000001</v>
      </c>
      <c r="F72" s="13">
        <v>19946688.579999998</v>
      </c>
      <c r="G72" s="13">
        <v>15062755.890000001</v>
      </c>
    </row>
    <row r="73" spans="1:7">
      <c r="A73" s="11">
        <v>6</v>
      </c>
      <c r="B73" s="11" t="s">
        <v>6</v>
      </c>
      <c r="C73">
        <v>12</v>
      </c>
      <c r="D73" s="5" t="s">
        <v>65</v>
      </c>
      <c r="E73" s="13">
        <v>47526073.335000001</v>
      </c>
      <c r="F73" s="13">
        <v>19069911.059999999</v>
      </c>
      <c r="G73" s="13">
        <v>14400656.73</v>
      </c>
    </row>
    <row r="74" spans="1:7">
      <c r="A74" s="3">
        <v>7</v>
      </c>
      <c r="B74" s="4" t="s">
        <v>7</v>
      </c>
      <c r="C74">
        <v>1</v>
      </c>
      <c r="D74" s="5" t="s">
        <v>54</v>
      </c>
      <c r="E74" s="13">
        <v>30035998.914999999</v>
      </c>
      <c r="F74" s="13">
        <v>6732891.9400000004</v>
      </c>
      <c r="G74" s="13">
        <v>7260213.3499999996</v>
      </c>
    </row>
    <row r="75" spans="1:7">
      <c r="A75" s="4">
        <v>7</v>
      </c>
      <c r="B75" s="4" t="s">
        <v>7</v>
      </c>
      <c r="C75">
        <v>2</v>
      </c>
      <c r="D75" s="5" t="s">
        <v>55</v>
      </c>
      <c r="E75" s="13">
        <v>31483516.934999999</v>
      </c>
      <c r="F75" s="13">
        <v>7057368.6600000001</v>
      </c>
      <c r="G75" s="13">
        <v>7610103.1500000004</v>
      </c>
    </row>
    <row r="76" spans="1:7">
      <c r="A76" s="3">
        <v>7</v>
      </c>
      <c r="B76" s="4" t="s">
        <v>7</v>
      </c>
      <c r="C76">
        <v>3</v>
      </c>
      <c r="D76" s="5" t="s">
        <v>56</v>
      </c>
      <c r="E76" s="13">
        <v>29312239.905000001</v>
      </c>
      <c r="F76" s="13">
        <v>6570653.5800000001</v>
      </c>
      <c r="G76" s="13">
        <v>7085268.4500000002</v>
      </c>
    </row>
    <row r="77" spans="1:7">
      <c r="A77" s="4">
        <v>7</v>
      </c>
      <c r="B77" s="4" t="s">
        <v>7</v>
      </c>
      <c r="C77">
        <v>4</v>
      </c>
      <c r="D77" s="5" t="s">
        <v>57</v>
      </c>
      <c r="E77" s="13">
        <v>28588480.895</v>
      </c>
      <c r="F77" s="13">
        <v>6408415.2199999997</v>
      </c>
      <c r="G77" s="13">
        <v>6910323.5499999998</v>
      </c>
    </row>
    <row r="78" spans="1:7">
      <c r="A78" s="3">
        <v>7</v>
      </c>
      <c r="B78" s="4" t="s">
        <v>7</v>
      </c>
      <c r="C78">
        <v>5</v>
      </c>
      <c r="D78" s="5" t="s">
        <v>58</v>
      </c>
      <c r="E78" s="13">
        <v>28950360.399999999</v>
      </c>
      <c r="F78" s="13">
        <v>6489534.4000000004</v>
      </c>
      <c r="G78" s="13">
        <v>6997796</v>
      </c>
    </row>
    <row r="79" spans="1:7">
      <c r="A79" s="4">
        <v>7</v>
      </c>
      <c r="B79" s="4" t="s">
        <v>7</v>
      </c>
      <c r="C79">
        <v>6</v>
      </c>
      <c r="D79" s="5" t="s">
        <v>59</v>
      </c>
      <c r="E79" s="13">
        <v>28226601.390000001</v>
      </c>
      <c r="F79" s="13">
        <v>6327296.04</v>
      </c>
      <c r="G79" s="13">
        <v>6822851.0999999996</v>
      </c>
    </row>
    <row r="80" spans="1:7">
      <c r="A80" s="3">
        <v>7</v>
      </c>
      <c r="B80" s="4" t="s">
        <v>7</v>
      </c>
      <c r="C80">
        <v>7</v>
      </c>
      <c r="D80" s="5" t="s">
        <v>60</v>
      </c>
      <c r="E80" s="13">
        <v>31845396.440000001</v>
      </c>
      <c r="F80" s="13">
        <v>7138487.8399999999</v>
      </c>
      <c r="G80" s="13">
        <v>7697575.5999999996</v>
      </c>
    </row>
    <row r="81" spans="1:7">
      <c r="A81" s="4">
        <v>7</v>
      </c>
      <c r="B81" s="4" t="s">
        <v>7</v>
      </c>
      <c r="C81">
        <v>8</v>
      </c>
      <c r="D81" s="5" t="s">
        <v>61</v>
      </c>
      <c r="E81" s="13">
        <v>28226601.390000001</v>
      </c>
      <c r="F81" s="13">
        <v>6327296.04</v>
      </c>
      <c r="G81" s="13">
        <v>6822851.0999999996</v>
      </c>
    </row>
    <row r="82" spans="1:7">
      <c r="A82" s="3">
        <v>7</v>
      </c>
      <c r="B82" s="4" t="s">
        <v>7</v>
      </c>
      <c r="C82">
        <v>9</v>
      </c>
      <c r="D82" s="5" t="s">
        <v>62</v>
      </c>
      <c r="E82" s="13">
        <v>30035998.914999999</v>
      </c>
      <c r="F82" s="13">
        <v>6732891.9400000004</v>
      </c>
      <c r="G82" s="13">
        <v>7260213.3499999996</v>
      </c>
    </row>
    <row r="83" spans="1:7">
      <c r="A83" s="4">
        <v>7</v>
      </c>
      <c r="B83" s="4" t="s">
        <v>7</v>
      </c>
      <c r="C83">
        <v>10</v>
      </c>
      <c r="D83" s="5" t="s">
        <v>63</v>
      </c>
      <c r="E83" s="13">
        <v>30759757.925000001</v>
      </c>
      <c r="F83" s="13">
        <v>6895130.2999999998</v>
      </c>
      <c r="G83" s="13">
        <v>7435158.25</v>
      </c>
    </row>
    <row r="84" spans="1:7">
      <c r="A84" s="3">
        <v>7</v>
      </c>
      <c r="B84" s="4" t="s">
        <v>7</v>
      </c>
      <c r="C84">
        <v>11</v>
      </c>
      <c r="D84" s="5" t="s">
        <v>64</v>
      </c>
      <c r="E84" s="13">
        <v>32931034.954999998</v>
      </c>
      <c r="F84" s="13">
        <v>7381845.3799999999</v>
      </c>
      <c r="G84" s="13">
        <v>7959992.9500000002</v>
      </c>
    </row>
    <row r="85" spans="1:7">
      <c r="A85" s="11">
        <v>7</v>
      </c>
      <c r="B85" s="11" t="s">
        <v>7</v>
      </c>
      <c r="C85">
        <v>12</v>
      </c>
      <c r="D85" s="5" t="s">
        <v>65</v>
      </c>
      <c r="E85" s="13">
        <v>31483516.934999999</v>
      </c>
      <c r="F85" s="13">
        <v>7057368.6600000001</v>
      </c>
      <c r="G85" s="13">
        <v>7610103.1500000004</v>
      </c>
    </row>
    <row r="86" spans="1:7">
      <c r="A86" s="3">
        <v>8</v>
      </c>
      <c r="B86" s="4" t="s">
        <v>8</v>
      </c>
      <c r="C86">
        <v>1</v>
      </c>
      <c r="D86" s="5" t="s">
        <v>54</v>
      </c>
      <c r="E86" s="13">
        <v>8417732.1799999997</v>
      </c>
      <c r="F86" s="13">
        <v>2148795.2999999998</v>
      </c>
      <c r="G86" s="13">
        <v>2233911.7999999998</v>
      </c>
    </row>
    <row r="87" spans="1:7">
      <c r="A87" s="4">
        <v>8</v>
      </c>
      <c r="B87" s="4" t="s">
        <v>8</v>
      </c>
      <c r="C87">
        <v>2</v>
      </c>
      <c r="D87" s="5" t="s">
        <v>55</v>
      </c>
      <c r="E87" s="13">
        <v>8823406.0199999996</v>
      </c>
      <c r="F87" s="13">
        <v>2252351.7000000002</v>
      </c>
      <c r="G87" s="13">
        <v>2341570.2000000002</v>
      </c>
    </row>
    <row r="88" spans="1:7">
      <c r="A88" s="3">
        <v>8</v>
      </c>
      <c r="B88" s="4" t="s">
        <v>8</v>
      </c>
      <c r="C88">
        <v>3</v>
      </c>
      <c r="D88" s="5" t="s">
        <v>56</v>
      </c>
      <c r="E88" s="13">
        <v>8214895.2599999998</v>
      </c>
      <c r="F88" s="13">
        <v>2097017.1</v>
      </c>
      <c r="G88" s="13">
        <v>2180082.6</v>
      </c>
    </row>
    <row r="89" spans="1:7">
      <c r="A89" s="4">
        <v>8</v>
      </c>
      <c r="B89" s="4" t="s">
        <v>8</v>
      </c>
      <c r="C89">
        <v>4</v>
      </c>
      <c r="D89" s="5" t="s">
        <v>57</v>
      </c>
      <c r="E89" s="13">
        <v>8012058.3399999999</v>
      </c>
      <c r="F89" s="13">
        <v>2045238.9</v>
      </c>
      <c r="G89" s="13">
        <v>2126253.4</v>
      </c>
    </row>
    <row r="90" spans="1:7">
      <c r="A90" s="3">
        <v>8</v>
      </c>
      <c r="B90" s="4" t="s">
        <v>8</v>
      </c>
      <c r="C90">
        <v>5</v>
      </c>
      <c r="D90" s="5" t="s">
        <v>58</v>
      </c>
      <c r="E90" s="13">
        <v>8113476.7999999998</v>
      </c>
      <c r="F90" s="13">
        <v>2071128</v>
      </c>
      <c r="G90" s="13">
        <v>2153168</v>
      </c>
    </row>
    <row r="91" spans="1:7">
      <c r="A91" s="4">
        <v>8</v>
      </c>
      <c r="B91" s="4" t="s">
        <v>8</v>
      </c>
      <c r="C91">
        <v>6</v>
      </c>
      <c r="D91" s="5" t="s">
        <v>59</v>
      </c>
      <c r="E91" s="13">
        <v>7910639.8799999999</v>
      </c>
      <c r="F91" s="13">
        <v>2019349.8</v>
      </c>
      <c r="G91" s="13">
        <v>2099338.7999999998</v>
      </c>
    </row>
    <row r="92" spans="1:7">
      <c r="A92" s="3">
        <v>8</v>
      </c>
      <c r="B92" s="4" t="s">
        <v>8</v>
      </c>
      <c r="C92">
        <v>7</v>
      </c>
      <c r="D92" s="5" t="s">
        <v>60</v>
      </c>
      <c r="E92" s="13">
        <v>8924824.4800000004</v>
      </c>
      <c r="F92" s="13">
        <v>2278240.7999999998</v>
      </c>
      <c r="G92" s="13">
        <v>2368484.7999999998</v>
      </c>
    </row>
    <row r="93" spans="1:7">
      <c r="A93" s="4">
        <v>8</v>
      </c>
      <c r="B93" s="4" t="s">
        <v>8</v>
      </c>
      <c r="C93">
        <v>8</v>
      </c>
      <c r="D93" s="5" t="s">
        <v>61</v>
      </c>
      <c r="E93" s="13">
        <v>7910639.8799999999</v>
      </c>
      <c r="F93" s="13">
        <v>2019349.8</v>
      </c>
      <c r="G93" s="13">
        <v>2099338.7999999998</v>
      </c>
    </row>
    <row r="94" spans="1:7">
      <c r="A94" s="3">
        <v>8</v>
      </c>
      <c r="B94" s="4" t="s">
        <v>8</v>
      </c>
      <c r="C94">
        <v>9</v>
      </c>
      <c r="D94" s="5" t="s">
        <v>62</v>
      </c>
      <c r="E94" s="13">
        <v>8417732.1799999997</v>
      </c>
      <c r="F94" s="13">
        <v>2148795.2999999998</v>
      </c>
      <c r="G94" s="13">
        <v>2233911.7999999998</v>
      </c>
    </row>
    <row r="95" spans="1:7">
      <c r="A95" s="4">
        <v>8</v>
      </c>
      <c r="B95" s="4" t="s">
        <v>8</v>
      </c>
      <c r="C95">
        <v>10</v>
      </c>
      <c r="D95" s="5" t="s">
        <v>63</v>
      </c>
      <c r="E95" s="13">
        <v>8620569.0999999996</v>
      </c>
      <c r="F95" s="13">
        <v>2200573.5</v>
      </c>
      <c r="G95" s="13">
        <v>2287741</v>
      </c>
    </row>
    <row r="96" spans="1:7">
      <c r="A96" s="3">
        <v>8</v>
      </c>
      <c r="B96" s="4" t="s">
        <v>8</v>
      </c>
      <c r="C96">
        <v>11</v>
      </c>
      <c r="D96" s="5" t="s">
        <v>64</v>
      </c>
      <c r="E96" s="13">
        <v>9229079.8599999994</v>
      </c>
      <c r="F96" s="13">
        <v>2355908.1</v>
      </c>
      <c r="G96" s="13">
        <v>2449228.6</v>
      </c>
    </row>
    <row r="97" spans="1:7">
      <c r="A97" s="11">
        <v>8</v>
      </c>
      <c r="B97" s="11" t="s">
        <v>8</v>
      </c>
      <c r="C97">
        <v>12</v>
      </c>
      <c r="D97" s="5" t="s">
        <v>65</v>
      </c>
      <c r="E97" s="13">
        <v>8823406.0199999996</v>
      </c>
      <c r="F97" s="13">
        <v>2252351.7000000002</v>
      </c>
      <c r="G97" s="13">
        <v>2341570.2000000002</v>
      </c>
    </row>
    <row r="98" spans="1:7">
      <c r="A98" s="3">
        <v>9</v>
      </c>
      <c r="B98" s="4" t="s">
        <v>9</v>
      </c>
      <c r="C98">
        <v>1</v>
      </c>
      <c r="D98" s="5" t="s">
        <v>54</v>
      </c>
      <c r="E98" s="13">
        <v>188633725.66999999</v>
      </c>
      <c r="F98" s="13">
        <v>71626510</v>
      </c>
      <c r="G98" s="13">
        <v>62772921.579999998</v>
      </c>
    </row>
    <row r="99" spans="1:7">
      <c r="A99" s="4">
        <v>9</v>
      </c>
      <c r="B99" s="4" t="s">
        <v>9</v>
      </c>
      <c r="C99">
        <v>2</v>
      </c>
      <c r="D99" s="5" t="s">
        <v>55</v>
      </c>
      <c r="E99" s="13">
        <v>197724507.63</v>
      </c>
      <c r="F99" s="13">
        <v>75078390</v>
      </c>
      <c r="G99" s="13">
        <v>65798122.619999997</v>
      </c>
    </row>
    <row r="100" spans="1:7">
      <c r="A100" s="3">
        <v>9</v>
      </c>
      <c r="B100" s="4" t="s">
        <v>9</v>
      </c>
      <c r="C100">
        <v>3</v>
      </c>
      <c r="D100" s="5" t="s">
        <v>56</v>
      </c>
      <c r="E100" s="13">
        <v>184088334.69</v>
      </c>
      <c r="F100" s="13">
        <v>69900570</v>
      </c>
      <c r="G100" s="13">
        <v>61260321.060000002</v>
      </c>
    </row>
    <row r="101" spans="1:7">
      <c r="A101" s="4">
        <v>9</v>
      </c>
      <c r="B101" s="4" t="s">
        <v>9</v>
      </c>
      <c r="C101">
        <v>4</v>
      </c>
      <c r="D101" s="5" t="s">
        <v>57</v>
      </c>
      <c r="E101" s="13">
        <v>179542943.71000001</v>
      </c>
      <c r="F101" s="13">
        <v>68174630</v>
      </c>
      <c r="G101" s="13">
        <v>59747720.539999999</v>
      </c>
    </row>
    <row r="102" spans="1:7">
      <c r="A102" s="3">
        <v>9</v>
      </c>
      <c r="B102" s="4" t="s">
        <v>9</v>
      </c>
      <c r="C102">
        <v>5</v>
      </c>
      <c r="D102" s="5" t="s">
        <v>58</v>
      </c>
      <c r="E102" s="13">
        <v>181815639.19999999</v>
      </c>
      <c r="F102" s="13">
        <v>69037600</v>
      </c>
      <c r="G102" s="13">
        <v>60504020.799999997</v>
      </c>
    </row>
    <row r="103" spans="1:7">
      <c r="A103" s="4">
        <v>9</v>
      </c>
      <c r="B103" s="4" t="s">
        <v>9</v>
      </c>
      <c r="C103">
        <v>6</v>
      </c>
      <c r="D103" s="5" t="s">
        <v>59</v>
      </c>
      <c r="E103" s="13">
        <v>177270248.22</v>
      </c>
      <c r="F103" s="13">
        <v>67311660</v>
      </c>
      <c r="G103" s="13">
        <v>58991420.280000001</v>
      </c>
    </row>
    <row r="104" spans="1:7">
      <c r="A104" s="3">
        <v>9</v>
      </c>
      <c r="B104" s="4" t="s">
        <v>9</v>
      </c>
      <c r="C104">
        <v>7</v>
      </c>
      <c r="D104" s="5" t="s">
        <v>60</v>
      </c>
      <c r="E104" s="13">
        <v>199997203.12</v>
      </c>
      <c r="F104" s="13">
        <v>75941360</v>
      </c>
      <c r="G104" s="13">
        <v>66554422.880000003</v>
      </c>
    </row>
    <row r="105" spans="1:7">
      <c r="A105" s="4">
        <v>9</v>
      </c>
      <c r="B105" s="4" t="s">
        <v>9</v>
      </c>
      <c r="C105">
        <v>8</v>
      </c>
      <c r="D105" s="5" t="s">
        <v>61</v>
      </c>
      <c r="E105" s="13">
        <v>177270248.22</v>
      </c>
      <c r="F105" s="13">
        <v>67311660</v>
      </c>
      <c r="G105" s="13">
        <v>58991420.280000001</v>
      </c>
    </row>
    <row r="106" spans="1:7">
      <c r="A106" s="3">
        <v>9</v>
      </c>
      <c r="B106" s="4" t="s">
        <v>9</v>
      </c>
      <c r="C106">
        <v>9</v>
      </c>
      <c r="D106" s="5" t="s">
        <v>62</v>
      </c>
      <c r="E106" s="13">
        <v>188633725.66999999</v>
      </c>
      <c r="F106" s="13">
        <v>71626510</v>
      </c>
      <c r="G106" s="13">
        <v>62772921.579999998</v>
      </c>
    </row>
    <row r="107" spans="1:7">
      <c r="A107" s="4">
        <v>9</v>
      </c>
      <c r="B107" s="4" t="s">
        <v>9</v>
      </c>
      <c r="C107">
        <v>10</v>
      </c>
      <c r="D107" s="5" t="s">
        <v>63</v>
      </c>
      <c r="E107" s="13">
        <v>193179116.65000001</v>
      </c>
      <c r="F107" s="13">
        <v>73352450</v>
      </c>
      <c r="G107" s="13">
        <v>64285522.100000001</v>
      </c>
    </row>
    <row r="108" spans="1:7">
      <c r="A108" s="3">
        <v>9</v>
      </c>
      <c r="B108" s="4" t="s">
        <v>9</v>
      </c>
      <c r="C108">
        <v>11</v>
      </c>
      <c r="D108" s="5" t="s">
        <v>64</v>
      </c>
      <c r="E108" s="13">
        <v>206815289.59</v>
      </c>
      <c r="F108" s="13">
        <v>78530270</v>
      </c>
      <c r="G108" s="13">
        <v>68823323.659999996</v>
      </c>
    </row>
    <row r="109" spans="1:7">
      <c r="A109" s="11">
        <v>9</v>
      </c>
      <c r="B109" s="11" t="s">
        <v>9</v>
      </c>
      <c r="C109">
        <v>12</v>
      </c>
      <c r="D109" s="5" t="s">
        <v>65</v>
      </c>
      <c r="E109" s="13">
        <v>197724507.63</v>
      </c>
      <c r="F109" s="13">
        <v>75078390</v>
      </c>
      <c r="G109" s="13">
        <v>65798122.619999997</v>
      </c>
    </row>
    <row r="110" spans="1:7">
      <c r="A110" s="3">
        <v>10</v>
      </c>
      <c r="B110" s="4" t="s">
        <v>10</v>
      </c>
      <c r="C110">
        <v>1</v>
      </c>
      <c r="D110" s="5" t="s">
        <v>54</v>
      </c>
      <c r="E110" s="13">
        <v>97760480.545000002</v>
      </c>
      <c r="F110" s="13">
        <v>39681086.539999999</v>
      </c>
      <c r="G110" s="13">
        <v>29040853.399999999</v>
      </c>
    </row>
    <row r="111" spans="1:7">
      <c r="A111" s="4">
        <v>10</v>
      </c>
      <c r="B111" s="4" t="s">
        <v>10</v>
      </c>
      <c r="C111">
        <v>2</v>
      </c>
      <c r="D111" s="5" t="s">
        <v>55</v>
      </c>
      <c r="E111" s="13">
        <v>102471829.005</v>
      </c>
      <c r="F111" s="13">
        <v>41593428.060000002</v>
      </c>
      <c r="G111" s="13">
        <v>30440412.600000001</v>
      </c>
    </row>
    <row r="112" spans="1:7">
      <c r="A112" s="3">
        <v>10</v>
      </c>
      <c r="B112" s="4" t="s">
        <v>10</v>
      </c>
      <c r="C112">
        <v>3</v>
      </c>
      <c r="D112" s="5" t="s">
        <v>56</v>
      </c>
      <c r="E112" s="13">
        <v>95404806.314999998</v>
      </c>
      <c r="F112" s="13">
        <v>38724915.780000001</v>
      </c>
      <c r="G112" s="13">
        <v>28341073.800000001</v>
      </c>
    </row>
    <row r="113" spans="1:7">
      <c r="A113" s="4">
        <v>10</v>
      </c>
      <c r="B113" s="4" t="s">
        <v>10</v>
      </c>
      <c r="C113">
        <v>4</v>
      </c>
      <c r="D113" s="5" t="s">
        <v>57</v>
      </c>
      <c r="E113" s="13">
        <v>93049132.084999993</v>
      </c>
      <c r="F113" s="13">
        <v>37768745.020000003</v>
      </c>
      <c r="G113" s="13">
        <v>27641294.199999999</v>
      </c>
    </row>
    <row r="114" spans="1:7">
      <c r="A114" s="3">
        <v>10</v>
      </c>
      <c r="B114" s="4" t="s">
        <v>10</v>
      </c>
      <c r="C114">
        <v>5</v>
      </c>
      <c r="D114" s="5" t="s">
        <v>58</v>
      </c>
      <c r="E114" s="13">
        <v>94226969.200000003</v>
      </c>
      <c r="F114" s="13">
        <v>38246830.399999999</v>
      </c>
      <c r="G114" s="13">
        <v>27991184</v>
      </c>
    </row>
    <row r="115" spans="1:7">
      <c r="A115" s="4">
        <v>10</v>
      </c>
      <c r="B115" s="4" t="s">
        <v>10</v>
      </c>
      <c r="C115">
        <v>6</v>
      </c>
      <c r="D115" s="5" t="s">
        <v>59</v>
      </c>
      <c r="E115" s="13">
        <v>91871294.969999999</v>
      </c>
      <c r="F115" s="13">
        <v>37290659.640000001</v>
      </c>
      <c r="G115" s="13">
        <v>27291404.399999999</v>
      </c>
    </row>
    <row r="116" spans="1:7">
      <c r="A116" s="3">
        <v>10</v>
      </c>
      <c r="B116" s="4" t="s">
        <v>10</v>
      </c>
      <c r="C116">
        <v>7</v>
      </c>
      <c r="D116" s="5" t="s">
        <v>60</v>
      </c>
      <c r="E116" s="13">
        <v>103649666.12</v>
      </c>
      <c r="F116" s="13">
        <v>42071513.439999998</v>
      </c>
      <c r="G116" s="13">
        <v>30790302.399999999</v>
      </c>
    </row>
    <row r="117" spans="1:7">
      <c r="A117" s="4">
        <v>10</v>
      </c>
      <c r="B117" s="4" t="s">
        <v>10</v>
      </c>
      <c r="C117">
        <v>8</v>
      </c>
      <c r="D117" s="5" t="s">
        <v>61</v>
      </c>
      <c r="E117" s="13">
        <v>91871294.969999999</v>
      </c>
      <c r="F117" s="13">
        <v>37290659.640000001</v>
      </c>
      <c r="G117" s="13">
        <v>27291404.399999999</v>
      </c>
    </row>
    <row r="118" spans="1:7">
      <c r="A118" s="3">
        <v>10</v>
      </c>
      <c r="B118" s="4" t="s">
        <v>10</v>
      </c>
      <c r="C118">
        <v>9</v>
      </c>
      <c r="D118" s="5" t="s">
        <v>62</v>
      </c>
      <c r="E118" s="13">
        <v>97760480.545000002</v>
      </c>
      <c r="F118" s="13">
        <v>39681086.539999999</v>
      </c>
      <c r="G118" s="13">
        <v>29040853.399999999</v>
      </c>
    </row>
    <row r="119" spans="1:7">
      <c r="A119" s="4">
        <v>10</v>
      </c>
      <c r="B119" s="4" t="s">
        <v>10</v>
      </c>
      <c r="C119">
        <v>10</v>
      </c>
      <c r="D119" s="5" t="s">
        <v>63</v>
      </c>
      <c r="E119" s="13">
        <v>100116154.77500001</v>
      </c>
      <c r="F119" s="13">
        <v>40637257.299999997</v>
      </c>
      <c r="G119" s="13">
        <v>29740633</v>
      </c>
    </row>
    <row r="120" spans="1:7">
      <c r="A120" s="3">
        <v>10</v>
      </c>
      <c r="B120" s="4" t="s">
        <v>10</v>
      </c>
      <c r="C120">
        <v>11</v>
      </c>
      <c r="D120" s="5" t="s">
        <v>64</v>
      </c>
      <c r="E120" s="13">
        <v>107183177.465</v>
      </c>
      <c r="F120" s="13">
        <v>43505769.579999998</v>
      </c>
      <c r="G120" s="13">
        <v>31839971.800000001</v>
      </c>
    </row>
    <row r="121" spans="1:7">
      <c r="A121" s="11">
        <v>10</v>
      </c>
      <c r="B121" s="11" t="s">
        <v>10</v>
      </c>
      <c r="C121">
        <v>12</v>
      </c>
      <c r="D121" s="5" t="s">
        <v>65</v>
      </c>
      <c r="E121" s="13">
        <v>102471829.005</v>
      </c>
      <c r="F121" s="13">
        <v>41593428.060000002</v>
      </c>
      <c r="G121" s="13">
        <v>30440412.600000001</v>
      </c>
    </row>
    <row r="122" spans="1:7">
      <c r="A122" s="3">
        <v>11</v>
      </c>
      <c r="B122" s="4" t="s">
        <v>11</v>
      </c>
      <c r="C122">
        <v>1</v>
      </c>
      <c r="D122" s="5" t="s">
        <v>54</v>
      </c>
      <c r="E122" s="13">
        <v>12435286.175000001</v>
      </c>
      <c r="F122" s="13">
        <v>1002771.14</v>
      </c>
      <c r="G122" s="13">
        <v>3350867.7</v>
      </c>
    </row>
    <row r="123" spans="1:7">
      <c r="A123" s="4">
        <v>11</v>
      </c>
      <c r="B123" s="4" t="s">
        <v>11</v>
      </c>
      <c r="C123">
        <v>2</v>
      </c>
      <c r="D123" s="5" t="s">
        <v>55</v>
      </c>
      <c r="E123" s="13">
        <v>13034577.074999999</v>
      </c>
      <c r="F123" s="13">
        <v>1051097.46</v>
      </c>
      <c r="G123" s="13">
        <v>3512355.3</v>
      </c>
    </row>
    <row r="124" spans="1:7">
      <c r="A124" s="3">
        <v>11</v>
      </c>
      <c r="B124" s="4" t="s">
        <v>11</v>
      </c>
      <c r="C124">
        <v>3</v>
      </c>
      <c r="D124" s="5" t="s">
        <v>56</v>
      </c>
      <c r="E124" s="13">
        <v>12135640.725</v>
      </c>
      <c r="F124" s="13">
        <v>978607.98</v>
      </c>
      <c r="G124" s="13">
        <v>3270123.9</v>
      </c>
    </row>
    <row r="125" spans="1:7">
      <c r="A125" s="4">
        <v>11</v>
      </c>
      <c r="B125" s="4" t="s">
        <v>11</v>
      </c>
      <c r="C125">
        <v>4</v>
      </c>
      <c r="D125" s="5" t="s">
        <v>57</v>
      </c>
      <c r="E125" s="13">
        <v>11835995.275</v>
      </c>
      <c r="F125" s="13">
        <v>954444.82</v>
      </c>
      <c r="G125" s="13">
        <v>3189380.1</v>
      </c>
    </row>
    <row r="126" spans="1:7">
      <c r="A126" s="3">
        <v>11</v>
      </c>
      <c r="B126" s="4" t="s">
        <v>11</v>
      </c>
      <c r="C126">
        <v>5</v>
      </c>
      <c r="D126" s="5" t="s">
        <v>58</v>
      </c>
      <c r="E126" s="13">
        <v>11985818</v>
      </c>
      <c r="F126" s="13">
        <v>966526.4</v>
      </c>
      <c r="G126" s="13">
        <v>3229752</v>
      </c>
    </row>
    <row r="127" spans="1:7">
      <c r="A127" s="4">
        <v>11</v>
      </c>
      <c r="B127" s="4" t="s">
        <v>11</v>
      </c>
      <c r="C127">
        <v>6</v>
      </c>
      <c r="D127" s="5" t="s">
        <v>59</v>
      </c>
      <c r="E127" s="13">
        <v>11686172.550000001</v>
      </c>
      <c r="F127" s="13">
        <v>942363.24</v>
      </c>
      <c r="G127" s="13">
        <v>3149008.2</v>
      </c>
    </row>
    <row r="128" spans="1:7">
      <c r="A128" s="3">
        <v>11</v>
      </c>
      <c r="B128" s="4" t="s">
        <v>11</v>
      </c>
      <c r="C128">
        <v>7</v>
      </c>
      <c r="D128" s="5" t="s">
        <v>60</v>
      </c>
      <c r="E128" s="13">
        <v>13184399.800000001</v>
      </c>
      <c r="F128" s="13">
        <v>1063179.04</v>
      </c>
      <c r="G128" s="13">
        <v>3552727.2</v>
      </c>
    </row>
    <row r="129" spans="1:7">
      <c r="A129" s="4">
        <v>11</v>
      </c>
      <c r="B129" s="4" t="s">
        <v>11</v>
      </c>
      <c r="C129">
        <v>8</v>
      </c>
      <c r="D129" s="5" t="s">
        <v>61</v>
      </c>
      <c r="E129" s="13">
        <v>11686172.550000001</v>
      </c>
      <c r="F129" s="13">
        <v>942363.24</v>
      </c>
      <c r="G129" s="13">
        <v>3149008.2</v>
      </c>
    </row>
    <row r="130" spans="1:7">
      <c r="A130" s="3">
        <v>11</v>
      </c>
      <c r="B130" s="4" t="s">
        <v>11</v>
      </c>
      <c r="C130">
        <v>9</v>
      </c>
      <c r="D130" s="5" t="s">
        <v>62</v>
      </c>
      <c r="E130" s="13">
        <v>12435286.175000001</v>
      </c>
      <c r="F130" s="13">
        <v>1002771.14</v>
      </c>
      <c r="G130" s="13">
        <v>3350867.7</v>
      </c>
    </row>
    <row r="131" spans="1:7">
      <c r="A131" s="4">
        <v>11</v>
      </c>
      <c r="B131" s="4" t="s">
        <v>11</v>
      </c>
      <c r="C131">
        <v>10</v>
      </c>
      <c r="D131" s="5" t="s">
        <v>63</v>
      </c>
      <c r="E131" s="13">
        <v>12734931.625</v>
      </c>
      <c r="F131" s="13">
        <v>1026934.3</v>
      </c>
      <c r="G131" s="13">
        <v>3431611.5</v>
      </c>
    </row>
    <row r="132" spans="1:7">
      <c r="A132" s="3">
        <v>11</v>
      </c>
      <c r="B132" s="4" t="s">
        <v>11</v>
      </c>
      <c r="C132">
        <v>11</v>
      </c>
      <c r="D132" s="5" t="s">
        <v>64</v>
      </c>
      <c r="E132" s="13">
        <v>13633867.975</v>
      </c>
      <c r="F132" s="13">
        <v>1099423.78</v>
      </c>
      <c r="G132" s="13">
        <v>3673842.9</v>
      </c>
    </row>
    <row r="133" spans="1:7">
      <c r="A133" s="11">
        <v>11</v>
      </c>
      <c r="B133" s="11" t="s">
        <v>11</v>
      </c>
      <c r="C133">
        <v>12</v>
      </c>
      <c r="D133" s="5" t="s">
        <v>65</v>
      </c>
      <c r="E133" s="13">
        <v>13034577.074999999</v>
      </c>
      <c r="F133" s="13">
        <v>1051097.46</v>
      </c>
      <c r="G133" s="13">
        <v>3512355.3</v>
      </c>
    </row>
    <row r="134" spans="1:7">
      <c r="A134" s="3">
        <v>12</v>
      </c>
      <c r="B134" s="4" t="s">
        <v>12</v>
      </c>
      <c r="C134">
        <v>1</v>
      </c>
      <c r="D134" s="5" t="s">
        <v>54</v>
      </c>
      <c r="E134" s="13">
        <v>13200534.555</v>
      </c>
      <c r="F134" s="13">
        <v>4011084.56</v>
      </c>
      <c r="G134" s="13">
        <v>3797650.06</v>
      </c>
    </row>
    <row r="135" spans="1:7">
      <c r="A135" s="4">
        <v>12</v>
      </c>
      <c r="B135" s="4" t="s">
        <v>12</v>
      </c>
      <c r="C135">
        <v>2</v>
      </c>
      <c r="D135" s="5" t="s">
        <v>55</v>
      </c>
      <c r="E135" s="13">
        <v>13836704.895</v>
      </c>
      <c r="F135" s="13">
        <v>4204389.84</v>
      </c>
      <c r="G135" s="13">
        <v>3980669.34</v>
      </c>
    </row>
    <row r="136" spans="1:7">
      <c r="A136" s="3">
        <v>12</v>
      </c>
      <c r="B136" s="4" t="s">
        <v>12</v>
      </c>
      <c r="C136">
        <v>3</v>
      </c>
      <c r="D136" s="5" t="s">
        <v>56</v>
      </c>
      <c r="E136" s="13">
        <v>12882449.385</v>
      </c>
      <c r="F136" s="13">
        <v>3914431.92</v>
      </c>
      <c r="G136" s="13">
        <v>3706140.42</v>
      </c>
    </row>
    <row r="137" spans="1:7">
      <c r="A137" s="4">
        <v>12</v>
      </c>
      <c r="B137" s="4" t="s">
        <v>12</v>
      </c>
      <c r="C137">
        <v>4</v>
      </c>
      <c r="D137" s="5" t="s">
        <v>57</v>
      </c>
      <c r="E137" s="13">
        <v>12564364.215</v>
      </c>
      <c r="F137" s="13">
        <v>3817779.28</v>
      </c>
      <c r="G137" s="13">
        <v>3614630.78</v>
      </c>
    </row>
    <row r="138" spans="1:7">
      <c r="A138" s="3">
        <v>12</v>
      </c>
      <c r="B138" s="4" t="s">
        <v>12</v>
      </c>
      <c r="C138">
        <v>5</v>
      </c>
      <c r="D138" s="5" t="s">
        <v>58</v>
      </c>
      <c r="E138" s="13">
        <v>12723406.800000001</v>
      </c>
      <c r="F138" s="13">
        <v>3866105.6</v>
      </c>
      <c r="G138" s="13">
        <v>3660385.6</v>
      </c>
    </row>
    <row r="139" spans="1:7">
      <c r="A139" s="4">
        <v>12</v>
      </c>
      <c r="B139" s="4" t="s">
        <v>12</v>
      </c>
      <c r="C139">
        <v>6</v>
      </c>
      <c r="D139" s="5" t="s">
        <v>59</v>
      </c>
      <c r="E139" s="13">
        <v>12405321.630000001</v>
      </c>
      <c r="F139" s="13">
        <v>3769452.96</v>
      </c>
      <c r="G139" s="13">
        <v>3568875.96</v>
      </c>
    </row>
    <row r="140" spans="1:7">
      <c r="A140" s="3">
        <v>12</v>
      </c>
      <c r="B140" s="4" t="s">
        <v>12</v>
      </c>
      <c r="C140">
        <v>7</v>
      </c>
      <c r="D140" s="5" t="s">
        <v>60</v>
      </c>
      <c r="E140" s="13">
        <v>13995747.48</v>
      </c>
      <c r="F140" s="13">
        <v>4252716.16</v>
      </c>
      <c r="G140" s="13">
        <v>4026424.16</v>
      </c>
    </row>
    <row r="141" spans="1:7">
      <c r="A141" s="4">
        <v>12</v>
      </c>
      <c r="B141" s="4" t="s">
        <v>12</v>
      </c>
      <c r="C141">
        <v>8</v>
      </c>
      <c r="D141" s="5" t="s">
        <v>61</v>
      </c>
      <c r="E141" s="13">
        <v>12405321.630000001</v>
      </c>
      <c r="F141" s="13">
        <v>3769452.96</v>
      </c>
      <c r="G141" s="13">
        <v>3568875.96</v>
      </c>
    </row>
    <row r="142" spans="1:7">
      <c r="A142" s="3">
        <v>12</v>
      </c>
      <c r="B142" s="4" t="s">
        <v>12</v>
      </c>
      <c r="C142">
        <v>9</v>
      </c>
      <c r="D142" s="5" t="s">
        <v>62</v>
      </c>
      <c r="E142" s="13">
        <v>13200534.555</v>
      </c>
      <c r="F142" s="13">
        <v>4011084.56</v>
      </c>
      <c r="G142" s="13">
        <v>3797650.06</v>
      </c>
    </row>
    <row r="143" spans="1:7">
      <c r="A143" s="4">
        <v>12</v>
      </c>
      <c r="B143" s="4" t="s">
        <v>12</v>
      </c>
      <c r="C143">
        <v>10</v>
      </c>
      <c r="D143" s="5" t="s">
        <v>63</v>
      </c>
      <c r="E143" s="13">
        <v>13518619.725</v>
      </c>
      <c r="F143" s="13">
        <v>4107737.2</v>
      </c>
      <c r="G143" s="13">
        <v>3889159.7</v>
      </c>
    </row>
    <row r="144" spans="1:7">
      <c r="A144" s="3">
        <v>12</v>
      </c>
      <c r="B144" s="4" t="s">
        <v>12</v>
      </c>
      <c r="C144">
        <v>11</v>
      </c>
      <c r="D144" s="5" t="s">
        <v>64</v>
      </c>
      <c r="E144" s="13">
        <v>14472875.234999999</v>
      </c>
      <c r="F144" s="13">
        <v>4397695.12</v>
      </c>
      <c r="G144" s="13">
        <v>4163688.62</v>
      </c>
    </row>
    <row r="145" spans="1:7">
      <c r="A145" s="11">
        <v>12</v>
      </c>
      <c r="B145" s="11" t="s">
        <v>12</v>
      </c>
      <c r="C145">
        <v>12</v>
      </c>
      <c r="D145" s="5" t="s">
        <v>65</v>
      </c>
      <c r="E145" s="13">
        <v>13836704.895</v>
      </c>
      <c r="F145" s="13">
        <v>4204389.84</v>
      </c>
      <c r="G145" s="13">
        <v>3980669.34</v>
      </c>
    </row>
    <row r="146" spans="1:7">
      <c r="A146" s="3">
        <v>13</v>
      </c>
      <c r="B146" s="4" t="s">
        <v>13</v>
      </c>
      <c r="C146">
        <v>1</v>
      </c>
      <c r="D146" s="5" t="s">
        <v>54</v>
      </c>
      <c r="E146" s="13">
        <v>141188326.11000001</v>
      </c>
      <c r="F146" s="13">
        <v>27218073.800000001</v>
      </c>
      <c r="G146" s="13">
        <v>33620372.590000004</v>
      </c>
    </row>
    <row r="147" spans="1:7">
      <c r="A147" s="4">
        <v>13</v>
      </c>
      <c r="B147" s="4" t="s">
        <v>13</v>
      </c>
      <c r="C147">
        <v>2</v>
      </c>
      <c r="D147" s="5" t="s">
        <v>55</v>
      </c>
      <c r="E147" s="13">
        <v>147992582.78999999</v>
      </c>
      <c r="F147" s="13">
        <v>28529788.199999999</v>
      </c>
      <c r="G147" s="13">
        <v>35240631.509999998</v>
      </c>
    </row>
    <row r="148" spans="1:7">
      <c r="A148" s="3">
        <v>13</v>
      </c>
      <c r="B148" s="4" t="s">
        <v>13</v>
      </c>
      <c r="C148">
        <v>3</v>
      </c>
      <c r="D148" s="5" t="s">
        <v>56</v>
      </c>
      <c r="E148" s="13">
        <v>137786197.77000001</v>
      </c>
      <c r="F148" s="13">
        <v>26562216.600000001</v>
      </c>
      <c r="G148" s="13">
        <v>32810243.129999999</v>
      </c>
    </row>
    <row r="149" spans="1:7">
      <c r="A149" s="4">
        <v>13</v>
      </c>
      <c r="B149" s="4" t="s">
        <v>13</v>
      </c>
      <c r="C149">
        <v>4</v>
      </c>
      <c r="D149" s="5" t="s">
        <v>57</v>
      </c>
      <c r="E149" s="13">
        <v>134384069.43000001</v>
      </c>
      <c r="F149" s="13">
        <v>25906359.399999999</v>
      </c>
      <c r="G149" s="13">
        <v>32000113.670000002</v>
      </c>
    </row>
    <row r="150" spans="1:7">
      <c r="A150" s="3">
        <v>13</v>
      </c>
      <c r="B150" s="4" t="s">
        <v>13</v>
      </c>
      <c r="C150">
        <v>5</v>
      </c>
      <c r="D150" s="5" t="s">
        <v>58</v>
      </c>
      <c r="E150" s="13">
        <v>136085133.59999999</v>
      </c>
      <c r="F150" s="13">
        <v>26234288</v>
      </c>
      <c r="G150" s="13">
        <v>32405178.399999999</v>
      </c>
    </row>
    <row r="151" spans="1:7">
      <c r="A151" s="4">
        <v>13</v>
      </c>
      <c r="B151" s="4" t="s">
        <v>13</v>
      </c>
      <c r="C151">
        <v>6</v>
      </c>
      <c r="D151" s="5" t="s">
        <v>59</v>
      </c>
      <c r="E151" s="13">
        <v>132683005.26000001</v>
      </c>
      <c r="F151" s="13">
        <v>25578430.800000001</v>
      </c>
      <c r="G151" s="13">
        <v>31595048.940000001</v>
      </c>
    </row>
    <row r="152" spans="1:7">
      <c r="A152" s="3">
        <v>13</v>
      </c>
      <c r="B152" s="4" t="s">
        <v>13</v>
      </c>
      <c r="C152">
        <v>7</v>
      </c>
      <c r="D152" s="5" t="s">
        <v>60</v>
      </c>
      <c r="E152" s="13">
        <v>149693646.96000001</v>
      </c>
      <c r="F152" s="13">
        <v>28857716.800000001</v>
      </c>
      <c r="G152" s="13">
        <v>35645696.240000002</v>
      </c>
    </row>
    <row r="153" spans="1:7">
      <c r="A153" s="4">
        <v>13</v>
      </c>
      <c r="B153" s="4" t="s">
        <v>13</v>
      </c>
      <c r="C153">
        <v>8</v>
      </c>
      <c r="D153" s="5" t="s">
        <v>61</v>
      </c>
      <c r="E153" s="13">
        <v>132683005.26000001</v>
      </c>
      <c r="F153" s="13">
        <v>25578430.800000001</v>
      </c>
      <c r="G153" s="13">
        <v>31595048.940000001</v>
      </c>
    </row>
    <row r="154" spans="1:7">
      <c r="A154" s="3">
        <v>13</v>
      </c>
      <c r="B154" s="4" t="s">
        <v>13</v>
      </c>
      <c r="C154">
        <v>9</v>
      </c>
      <c r="D154" s="5" t="s">
        <v>62</v>
      </c>
      <c r="E154" s="13">
        <v>141188326.11000001</v>
      </c>
      <c r="F154" s="13">
        <v>27218073.800000001</v>
      </c>
      <c r="G154" s="13">
        <v>33620372.590000004</v>
      </c>
    </row>
    <row r="155" spans="1:7">
      <c r="A155" s="4">
        <v>13</v>
      </c>
      <c r="B155" s="4" t="s">
        <v>13</v>
      </c>
      <c r="C155">
        <v>10</v>
      </c>
      <c r="D155" s="5" t="s">
        <v>63</v>
      </c>
      <c r="E155" s="13">
        <v>144590454.44999999</v>
      </c>
      <c r="F155" s="13">
        <v>27873931</v>
      </c>
      <c r="G155" s="13">
        <v>34430502.049999997</v>
      </c>
    </row>
    <row r="156" spans="1:7">
      <c r="A156" s="3">
        <v>13</v>
      </c>
      <c r="B156" s="4" t="s">
        <v>13</v>
      </c>
      <c r="C156">
        <v>11</v>
      </c>
      <c r="D156" s="5" t="s">
        <v>64</v>
      </c>
      <c r="E156" s="13">
        <v>154796839.47</v>
      </c>
      <c r="F156" s="13">
        <v>29841502.600000001</v>
      </c>
      <c r="G156" s="13">
        <v>36860890.43</v>
      </c>
    </row>
    <row r="157" spans="1:7">
      <c r="A157" s="11">
        <v>13</v>
      </c>
      <c r="B157" s="11" t="s">
        <v>13</v>
      </c>
      <c r="C157">
        <v>12</v>
      </c>
      <c r="D157" s="5" t="s">
        <v>65</v>
      </c>
      <c r="E157" s="13">
        <v>147992582.78999999</v>
      </c>
      <c r="F157" s="13">
        <v>28529788.199999999</v>
      </c>
      <c r="G157" s="13">
        <v>35240631.509999998</v>
      </c>
    </row>
    <row r="158" spans="1:7">
      <c r="A158" s="3">
        <v>14</v>
      </c>
      <c r="B158" s="4" t="s">
        <v>14</v>
      </c>
      <c r="C158">
        <v>1</v>
      </c>
      <c r="D158" s="5" t="s">
        <v>54</v>
      </c>
      <c r="E158" s="13">
        <v>74994341.239999995</v>
      </c>
      <c r="F158" s="13">
        <v>25642290.579999998</v>
      </c>
      <c r="G158" s="13">
        <v>21445553.280000001</v>
      </c>
    </row>
    <row r="159" spans="1:7">
      <c r="A159" s="4">
        <v>14</v>
      </c>
      <c r="B159" s="4" t="s">
        <v>14</v>
      </c>
      <c r="C159">
        <v>2</v>
      </c>
      <c r="D159" s="5" t="s">
        <v>55</v>
      </c>
      <c r="E159" s="13">
        <v>78608526.359999999</v>
      </c>
      <c r="F159" s="13">
        <v>26878063.620000001</v>
      </c>
      <c r="G159" s="13">
        <v>22479073.920000002</v>
      </c>
    </row>
    <row r="160" spans="1:7">
      <c r="A160" s="3">
        <v>14</v>
      </c>
      <c r="B160" s="4" t="s">
        <v>14</v>
      </c>
      <c r="C160">
        <v>3</v>
      </c>
      <c r="D160" s="5" t="s">
        <v>56</v>
      </c>
      <c r="E160" s="13">
        <v>73187248.680000007</v>
      </c>
      <c r="F160" s="13">
        <v>25024404.059999999</v>
      </c>
      <c r="G160" s="13">
        <v>20928792.960000001</v>
      </c>
    </row>
    <row r="161" spans="1:7">
      <c r="A161" s="4">
        <v>14</v>
      </c>
      <c r="B161" s="4" t="s">
        <v>14</v>
      </c>
      <c r="C161">
        <v>4</v>
      </c>
      <c r="D161" s="5" t="s">
        <v>57</v>
      </c>
      <c r="E161" s="13">
        <v>71380156.120000005</v>
      </c>
      <c r="F161" s="13">
        <v>24406517.539999999</v>
      </c>
      <c r="G161" s="13">
        <v>20412032.640000001</v>
      </c>
    </row>
    <row r="162" spans="1:7">
      <c r="A162" s="3">
        <v>14</v>
      </c>
      <c r="B162" s="4" t="s">
        <v>14</v>
      </c>
      <c r="C162">
        <v>5</v>
      </c>
      <c r="D162" s="5" t="s">
        <v>58</v>
      </c>
      <c r="E162" s="13">
        <v>72283702.400000006</v>
      </c>
      <c r="F162" s="13">
        <v>24715460.800000001</v>
      </c>
      <c r="G162" s="13">
        <v>20670412.800000001</v>
      </c>
    </row>
    <row r="163" spans="1:7">
      <c r="A163" s="4">
        <v>14</v>
      </c>
      <c r="B163" s="4" t="s">
        <v>14</v>
      </c>
      <c r="C163">
        <v>6</v>
      </c>
      <c r="D163" s="5" t="s">
        <v>59</v>
      </c>
      <c r="E163" s="13">
        <v>70476609.840000004</v>
      </c>
      <c r="F163" s="13">
        <v>24097574.280000001</v>
      </c>
      <c r="G163" s="13">
        <v>20153652.48</v>
      </c>
    </row>
    <row r="164" spans="1:7">
      <c r="A164" s="3">
        <v>14</v>
      </c>
      <c r="B164" s="4" t="s">
        <v>14</v>
      </c>
      <c r="C164">
        <v>7</v>
      </c>
      <c r="D164" s="5" t="s">
        <v>60</v>
      </c>
      <c r="E164" s="13">
        <v>79512072.640000001</v>
      </c>
      <c r="F164" s="13">
        <v>27187006.879999999</v>
      </c>
      <c r="G164" s="13">
        <v>22737454.079999998</v>
      </c>
    </row>
    <row r="165" spans="1:7">
      <c r="A165" s="4">
        <v>14</v>
      </c>
      <c r="B165" s="4" t="s">
        <v>14</v>
      </c>
      <c r="C165">
        <v>8</v>
      </c>
      <c r="D165" s="5" t="s">
        <v>61</v>
      </c>
      <c r="E165" s="13">
        <v>70476609.840000004</v>
      </c>
      <c r="F165" s="13">
        <v>24097574.280000001</v>
      </c>
      <c r="G165" s="13">
        <v>20153652.48</v>
      </c>
    </row>
    <row r="166" spans="1:7">
      <c r="A166" s="3">
        <v>14</v>
      </c>
      <c r="B166" s="4" t="s">
        <v>14</v>
      </c>
      <c r="C166">
        <v>9</v>
      </c>
      <c r="D166" s="5" t="s">
        <v>62</v>
      </c>
      <c r="E166" s="13">
        <v>74994341.239999995</v>
      </c>
      <c r="F166" s="13">
        <v>25642290.579999998</v>
      </c>
      <c r="G166" s="13">
        <v>21445553.280000001</v>
      </c>
    </row>
    <row r="167" spans="1:7">
      <c r="A167" s="4">
        <v>14</v>
      </c>
      <c r="B167" s="4" t="s">
        <v>14</v>
      </c>
      <c r="C167">
        <v>10</v>
      </c>
      <c r="D167" s="5" t="s">
        <v>63</v>
      </c>
      <c r="E167" s="13">
        <v>76801433.799999997</v>
      </c>
      <c r="F167" s="13">
        <v>26260177.100000001</v>
      </c>
      <c r="G167" s="13">
        <v>21962313.600000001</v>
      </c>
    </row>
    <row r="168" spans="1:7">
      <c r="A168" s="3">
        <v>14</v>
      </c>
      <c r="B168" s="4" t="s">
        <v>14</v>
      </c>
      <c r="C168">
        <v>11</v>
      </c>
      <c r="D168" s="5" t="s">
        <v>64</v>
      </c>
      <c r="E168" s="13">
        <v>82222711.480000004</v>
      </c>
      <c r="F168" s="13">
        <v>28113836.66</v>
      </c>
      <c r="G168" s="13">
        <v>23512594.559999999</v>
      </c>
    </row>
    <row r="169" spans="1:7">
      <c r="A169" s="11">
        <v>14</v>
      </c>
      <c r="B169" s="11" t="s">
        <v>14</v>
      </c>
      <c r="C169">
        <v>12</v>
      </c>
      <c r="D169" s="5" t="s">
        <v>65</v>
      </c>
      <c r="E169" s="13">
        <v>78608526.359999999</v>
      </c>
      <c r="F169" s="13">
        <v>26878063.620000001</v>
      </c>
      <c r="G169" s="13">
        <v>22479073.920000002</v>
      </c>
    </row>
    <row r="170" spans="1:7">
      <c r="A170" s="3">
        <v>15</v>
      </c>
      <c r="B170" s="4" t="s">
        <v>15</v>
      </c>
      <c r="C170">
        <v>1</v>
      </c>
      <c r="D170" s="5" t="s">
        <v>54</v>
      </c>
      <c r="E170" s="13">
        <v>33096992.434999999</v>
      </c>
      <c r="F170" s="13">
        <v>5873373.8200000003</v>
      </c>
      <c r="G170" s="13">
        <v>9159038.3800000008</v>
      </c>
    </row>
    <row r="171" spans="1:7">
      <c r="A171" s="4">
        <v>15</v>
      </c>
      <c r="B171" s="4" t="s">
        <v>15</v>
      </c>
      <c r="C171">
        <v>2</v>
      </c>
      <c r="D171" s="5" t="s">
        <v>55</v>
      </c>
      <c r="E171" s="13">
        <v>34692028.215000004</v>
      </c>
      <c r="F171" s="13">
        <v>6156427.9800000004</v>
      </c>
      <c r="G171" s="13">
        <v>9600437.8200000003</v>
      </c>
    </row>
    <row r="172" spans="1:7">
      <c r="A172" s="3">
        <v>15</v>
      </c>
      <c r="B172" s="4" t="s">
        <v>15</v>
      </c>
      <c r="C172">
        <v>3</v>
      </c>
      <c r="D172" s="5" t="s">
        <v>56</v>
      </c>
      <c r="E172" s="13">
        <v>32299474.545000002</v>
      </c>
      <c r="F172" s="13">
        <v>5731846.7400000002</v>
      </c>
      <c r="G172" s="13">
        <v>8938338.6600000001</v>
      </c>
    </row>
    <row r="173" spans="1:7">
      <c r="A173" s="4">
        <v>15</v>
      </c>
      <c r="B173" s="4" t="s">
        <v>15</v>
      </c>
      <c r="C173">
        <v>4</v>
      </c>
      <c r="D173" s="5" t="s">
        <v>57</v>
      </c>
      <c r="E173" s="13">
        <v>31501956.655000001</v>
      </c>
      <c r="F173" s="13">
        <v>5590319.6600000001</v>
      </c>
      <c r="G173" s="13">
        <v>8717638.9399999995</v>
      </c>
    </row>
    <row r="174" spans="1:7">
      <c r="A174" s="3">
        <v>15</v>
      </c>
      <c r="B174" s="4" t="s">
        <v>15</v>
      </c>
      <c r="C174">
        <v>5</v>
      </c>
      <c r="D174" s="5" t="s">
        <v>58</v>
      </c>
      <c r="E174" s="13">
        <v>31900715.600000001</v>
      </c>
      <c r="F174" s="13">
        <v>5661083.2000000002</v>
      </c>
      <c r="G174" s="13">
        <v>8827988.8000000007</v>
      </c>
    </row>
    <row r="175" spans="1:7">
      <c r="A175" s="4">
        <v>15</v>
      </c>
      <c r="B175" s="4" t="s">
        <v>15</v>
      </c>
      <c r="C175">
        <v>6</v>
      </c>
      <c r="D175" s="5" t="s">
        <v>59</v>
      </c>
      <c r="E175" s="13">
        <v>31103197.710000001</v>
      </c>
      <c r="F175" s="13">
        <v>5519556.1200000001</v>
      </c>
      <c r="G175" s="13">
        <v>8607289.0800000001</v>
      </c>
    </row>
    <row r="176" spans="1:7">
      <c r="A176" s="3">
        <v>15</v>
      </c>
      <c r="B176" s="4" t="s">
        <v>15</v>
      </c>
      <c r="C176">
        <v>7</v>
      </c>
      <c r="D176" s="5" t="s">
        <v>60</v>
      </c>
      <c r="E176" s="13">
        <v>35090787.159999996</v>
      </c>
      <c r="F176" s="13">
        <v>6227191.5199999996</v>
      </c>
      <c r="G176" s="13">
        <v>9710787.6799999997</v>
      </c>
    </row>
    <row r="177" spans="1:7">
      <c r="A177" s="4">
        <v>15</v>
      </c>
      <c r="B177" s="4" t="s">
        <v>15</v>
      </c>
      <c r="C177">
        <v>8</v>
      </c>
      <c r="D177" s="5" t="s">
        <v>61</v>
      </c>
      <c r="E177" s="13">
        <v>31103197.710000001</v>
      </c>
      <c r="F177" s="13">
        <v>5519556.1200000001</v>
      </c>
      <c r="G177" s="13">
        <v>8607289.0800000001</v>
      </c>
    </row>
    <row r="178" spans="1:7">
      <c r="A178" s="3">
        <v>15</v>
      </c>
      <c r="B178" s="4" t="s">
        <v>15</v>
      </c>
      <c r="C178">
        <v>9</v>
      </c>
      <c r="D178" s="5" t="s">
        <v>62</v>
      </c>
      <c r="E178" s="13">
        <v>33096992.434999999</v>
      </c>
      <c r="F178" s="13">
        <v>5873373.8200000003</v>
      </c>
      <c r="G178" s="13">
        <v>9159038.3800000008</v>
      </c>
    </row>
    <row r="179" spans="1:7">
      <c r="A179" s="4">
        <v>15</v>
      </c>
      <c r="B179" s="4" t="s">
        <v>15</v>
      </c>
      <c r="C179">
        <v>10</v>
      </c>
      <c r="D179" s="5" t="s">
        <v>63</v>
      </c>
      <c r="E179" s="13">
        <v>33894510.325000003</v>
      </c>
      <c r="F179" s="13">
        <v>6014900.9000000004</v>
      </c>
      <c r="G179" s="13">
        <v>9379738.0999999996</v>
      </c>
    </row>
    <row r="180" spans="1:7">
      <c r="A180" s="3">
        <v>15</v>
      </c>
      <c r="B180" s="4" t="s">
        <v>15</v>
      </c>
      <c r="C180">
        <v>11</v>
      </c>
      <c r="D180" s="5" t="s">
        <v>64</v>
      </c>
      <c r="E180" s="13">
        <v>36287063.994999997</v>
      </c>
      <c r="F180" s="13">
        <v>6439482.1399999997</v>
      </c>
      <c r="G180" s="13">
        <v>10041837.26</v>
      </c>
    </row>
    <row r="181" spans="1:7">
      <c r="A181" s="11">
        <v>15</v>
      </c>
      <c r="B181" s="11" t="s">
        <v>15</v>
      </c>
      <c r="C181">
        <v>12</v>
      </c>
      <c r="D181" s="5" t="s">
        <v>65</v>
      </c>
      <c r="E181" s="13">
        <v>34692028.215000004</v>
      </c>
      <c r="F181" s="13">
        <v>6156427.9800000004</v>
      </c>
      <c r="G181" s="13">
        <v>9600437.8200000003</v>
      </c>
    </row>
    <row r="182" spans="1:7">
      <c r="A182" s="3">
        <v>16</v>
      </c>
      <c r="B182" s="4" t="s">
        <v>16</v>
      </c>
      <c r="C182">
        <v>1</v>
      </c>
      <c r="D182" s="5" t="s">
        <v>54</v>
      </c>
      <c r="E182" s="13">
        <v>35201425.479999997</v>
      </c>
      <c r="F182" s="13">
        <v>9454699.3200000003</v>
      </c>
      <c r="G182" s="13">
        <v>7483604.5300000003</v>
      </c>
    </row>
    <row r="183" spans="1:7">
      <c r="A183" s="4">
        <v>16</v>
      </c>
      <c r="B183" s="4" t="s">
        <v>16</v>
      </c>
      <c r="C183">
        <v>2</v>
      </c>
      <c r="D183" s="5" t="s">
        <v>55</v>
      </c>
      <c r="E183" s="13">
        <v>36897879.719999999</v>
      </c>
      <c r="F183" s="13">
        <v>9910347.4800000004</v>
      </c>
      <c r="G183" s="13">
        <v>7844260.1699999999</v>
      </c>
    </row>
    <row r="184" spans="1:7">
      <c r="A184" s="3">
        <v>16</v>
      </c>
      <c r="B184" s="4" t="s">
        <v>16</v>
      </c>
      <c r="C184">
        <v>3</v>
      </c>
      <c r="D184" s="5" t="s">
        <v>56</v>
      </c>
      <c r="E184" s="13">
        <v>34353198.359999999</v>
      </c>
      <c r="F184" s="13">
        <v>9226875.2400000002</v>
      </c>
      <c r="G184" s="13">
        <v>7303276.71</v>
      </c>
    </row>
    <row r="185" spans="1:7">
      <c r="A185" s="4">
        <v>16</v>
      </c>
      <c r="B185" s="4" t="s">
        <v>16</v>
      </c>
      <c r="C185">
        <v>4</v>
      </c>
      <c r="D185" s="5" t="s">
        <v>57</v>
      </c>
      <c r="E185" s="13">
        <v>33504971.239999998</v>
      </c>
      <c r="F185" s="13">
        <v>8999051.1600000001</v>
      </c>
      <c r="G185" s="13">
        <v>7122948.8899999997</v>
      </c>
    </row>
    <row r="186" spans="1:7">
      <c r="A186" s="3">
        <v>16</v>
      </c>
      <c r="B186" s="4" t="s">
        <v>16</v>
      </c>
      <c r="C186">
        <v>5</v>
      </c>
      <c r="D186" s="5" t="s">
        <v>58</v>
      </c>
      <c r="E186" s="13">
        <v>33929084.799999997</v>
      </c>
      <c r="F186" s="13">
        <v>9112963.1999999993</v>
      </c>
      <c r="G186" s="13">
        <v>7213112.7999999998</v>
      </c>
    </row>
    <row r="187" spans="1:7">
      <c r="A187" s="4">
        <v>16</v>
      </c>
      <c r="B187" s="4" t="s">
        <v>16</v>
      </c>
      <c r="C187">
        <v>6</v>
      </c>
      <c r="D187" s="5" t="s">
        <v>59</v>
      </c>
      <c r="E187" s="13">
        <v>33080857.68</v>
      </c>
      <c r="F187" s="13">
        <v>8885139.1199999992</v>
      </c>
      <c r="G187" s="13">
        <v>7032784.9800000004</v>
      </c>
    </row>
    <row r="188" spans="1:7">
      <c r="A188" s="3">
        <v>16</v>
      </c>
      <c r="B188" s="4" t="s">
        <v>16</v>
      </c>
      <c r="C188">
        <v>7</v>
      </c>
      <c r="D188" s="5" t="s">
        <v>60</v>
      </c>
      <c r="E188" s="13">
        <v>37321993.280000001</v>
      </c>
      <c r="F188" s="13">
        <v>10024259.52</v>
      </c>
      <c r="G188" s="13">
        <v>7934424.0800000001</v>
      </c>
    </row>
    <row r="189" spans="1:7">
      <c r="A189" s="4">
        <v>16</v>
      </c>
      <c r="B189" s="4" t="s">
        <v>16</v>
      </c>
      <c r="C189">
        <v>8</v>
      </c>
      <c r="D189" s="5" t="s">
        <v>61</v>
      </c>
      <c r="E189" s="13">
        <v>33080857.68</v>
      </c>
      <c r="F189" s="13">
        <v>8885139.1199999992</v>
      </c>
      <c r="G189" s="13">
        <v>7032784.9800000004</v>
      </c>
    </row>
    <row r="190" spans="1:7">
      <c r="A190" s="3">
        <v>16</v>
      </c>
      <c r="B190" s="4" t="s">
        <v>16</v>
      </c>
      <c r="C190">
        <v>9</v>
      </c>
      <c r="D190" s="5" t="s">
        <v>62</v>
      </c>
      <c r="E190" s="13">
        <v>35201425.479999997</v>
      </c>
      <c r="F190" s="13">
        <v>9454699.3200000003</v>
      </c>
      <c r="G190" s="13">
        <v>7483604.5300000003</v>
      </c>
    </row>
    <row r="191" spans="1:7">
      <c r="A191" s="4">
        <v>16</v>
      </c>
      <c r="B191" s="4" t="s">
        <v>16</v>
      </c>
      <c r="C191">
        <v>10</v>
      </c>
      <c r="D191" s="5" t="s">
        <v>63</v>
      </c>
      <c r="E191" s="13">
        <v>36049652.600000001</v>
      </c>
      <c r="F191" s="13">
        <v>9682523.4000000004</v>
      </c>
      <c r="G191" s="13">
        <v>7663932.3499999996</v>
      </c>
    </row>
    <row r="192" spans="1:7">
      <c r="A192" s="3">
        <v>16</v>
      </c>
      <c r="B192" s="4" t="s">
        <v>16</v>
      </c>
      <c r="C192">
        <v>11</v>
      </c>
      <c r="D192" s="5" t="s">
        <v>64</v>
      </c>
      <c r="E192" s="13">
        <v>38594333.960000001</v>
      </c>
      <c r="F192" s="13">
        <v>10365995.640000001</v>
      </c>
      <c r="G192" s="13">
        <v>8204915.8099999996</v>
      </c>
    </row>
    <row r="193" spans="1:7">
      <c r="A193" s="11">
        <v>16</v>
      </c>
      <c r="B193" s="11" t="s">
        <v>16</v>
      </c>
      <c r="C193">
        <v>12</v>
      </c>
      <c r="D193" s="5" t="s">
        <v>65</v>
      </c>
      <c r="E193" s="13">
        <v>36897879.719999999</v>
      </c>
      <c r="F193" s="13">
        <v>9910347.4800000004</v>
      </c>
      <c r="G193" s="13">
        <v>7844260.1699999999</v>
      </c>
    </row>
    <row r="194" spans="1:7">
      <c r="A194" s="3">
        <v>17</v>
      </c>
      <c r="B194" s="4" t="s">
        <v>17</v>
      </c>
      <c r="C194">
        <v>1</v>
      </c>
      <c r="D194" s="5" t="s">
        <v>54</v>
      </c>
      <c r="E194" s="13">
        <v>49932456.795000002</v>
      </c>
      <c r="F194" s="13">
        <v>20198675.82</v>
      </c>
      <c r="G194" s="13">
        <v>11057863.41</v>
      </c>
    </row>
    <row r="195" spans="1:7">
      <c r="A195" s="4">
        <v>17</v>
      </c>
      <c r="B195" s="4" t="s">
        <v>17</v>
      </c>
      <c r="C195">
        <v>2</v>
      </c>
      <c r="D195" s="5" t="s">
        <v>55</v>
      </c>
      <c r="E195" s="13">
        <v>52338840.255000003</v>
      </c>
      <c r="F195" s="13">
        <v>21172105.98</v>
      </c>
      <c r="G195" s="13">
        <v>11590772.49</v>
      </c>
    </row>
    <row r="196" spans="1:7">
      <c r="A196" s="3">
        <v>17</v>
      </c>
      <c r="B196" s="4" t="s">
        <v>17</v>
      </c>
      <c r="C196">
        <v>3</v>
      </c>
      <c r="D196" s="5" t="s">
        <v>56</v>
      </c>
      <c r="E196" s="13">
        <v>48729265.064999998</v>
      </c>
      <c r="F196" s="13">
        <v>19711960.739999998</v>
      </c>
      <c r="G196" s="13">
        <v>10791408.869999999</v>
      </c>
    </row>
    <row r="197" spans="1:7">
      <c r="A197" s="4">
        <v>17</v>
      </c>
      <c r="B197" s="4" t="s">
        <v>17</v>
      </c>
      <c r="C197">
        <v>4</v>
      </c>
      <c r="D197" s="5" t="s">
        <v>57</v>
      </c>
      <c r="E197" s="13">
        <v>47526073.335000001</v>
      </c>
      <c r="F197" s="13">
        <v>19225245.66</v>
      </c>
      <c r="G197" s="13">
        <v>10524954.33</v>
      </c>
    </row>
    <row r="198" spans="1:7">
      <c r="A198" s="3">
        <v>17</v>
      </c>
      <c r="B198" s="4" t="s">
        <v>17</v>
      </c>
      <c r="C198">
        <v>5</v>
      </c>
      <c r="D198" s="5" t="s">
        <v>58</v>
      </c>
      <c r="E198" s="13">
        <v>48127669.200000003</v>
      </c>
      <c r="F198" s="13">
        <v>19468603.199999999</v>
      </c>
      <c r="G198" s="13">
        <v>10658181.6</v>
      </c>
    </row>
    <row r="199" spans="1:7">
      <c r="A199" s="4">
        <v>17</v>
      </c>
      <c r="B199" s="4" t="s">
        <v>17</v>
      </c>
      <c r="C199">
        <v>6</v>
      </c>
      <c r="D199" s="5" t="s">
        <v>59</v>
      </c>
      <c r="E199" s="13">
        <v>46924477.469999999</v>
      </c>
      <c r="F199" s="13">
        <v>18981888.120000001</v>
      </c>
      <c r="G199" s="13">
        <v>10391727.060000001</v>
      </c>
    </row>
    <row r="200" spans="1:7">
      <c r="A200" s="3">
        <v>17</v>
      </c>
      <c r="B200" s="4" t="s">
        <v>17</v>
      </c>
      <c r="C200">
        <v>7</v>
      </c>
      <c r="D200" s="5" t="s">
        <v>60</v>
      </c>
      <c r="E200" s="13">
        <v>52940436.119999997</v>
      </c>
      <c r="F200" s="13">
        <v>21415463.52</v>
      </c>
      <c r="G200" s="13">
        <v>11723999.76</v>
      </c>
    </row>
    <row r="201" spans="1:7">
      <c r="A201" s="4">
        <v>17</v>
      </c>
      <c r="B201" s="4" t="s">
        <v>17</v>
      </c>
      <c r="C201">
        <v>8</v>
      </c>
      <c r="D201" s="5" t="s">
        <v>61</v>
      </c>
      <c r="E201" s="13">
        <v>46924477.469999999</v>
      </c>
      <c r="F201" s="13">
        <v>18981888.120000001</v>
      </c>
      <c r="G201" s="13">
        <v>10391727.060000001</v>
      </c>
    </row>
    <row r="202" spans="1:7">
      <c r="A202" s="3">
        <v>17</v>
      </c>
      <c r="B202" s="4" t="s">
        <v>17</v>
      </c>
      <c r="C202">
        <v>9</v>
      </c>
      <c r="D202" s="5" t="s">
        <v>62</v>
      </c>
      <c r="E202" s="13">
        <v>49932456.795000002</v>
      </c>
      <c r="F202" s="13">
        <v>20198675.82</v>
      </c>
      <c r="G202" s="13">
        <v>11057863.41</v>
      </c>
    </row>
    <row r="203" spans="1:7">
      <c r="A203" s="4">
        <v>17</v>
      </c>
      <c r="B203" s="4" t="s">
        <v>17</v>
      </c>
      <c r="C203">
        <v>10</v>
      </c>
      <c r="D203" s="5" t="s">
        <v>63</v>
      </c>
      <c r="E203" s="13">
        <v>51135648.524999999</v>
      </c>
      <c r="F203" s="13">
        <v>20685390.899999999</v>
      </c>
      <c r="G203" s="13">
        <v>11324317.949999999</v>
      </c>
    </row>
    <row r="204" spans="1:7">
      <c r="A204" s="3">
        <v>17</v>
      </c>
      <c r="B204" s="4" t="s">
        <v>17</v>
      </c>
      <c r="C204">
        <v>11</v>
      </c>
      <c r="D204" s="5" t="s">
        <v>64</v>
      </c>
      <c r="E204" s="13">
        <v>54745223.715000004</v>
      </c>
      <c r="F204" s="13">
        <v>22145536.140000001</v>
      </c>
      <c r="G204" s="13">
        <v>12123681.57</v>
      </c>
    </row>
    <row r="205" spans="1:7">
      <c r="A205" s="11">
        <v>17</v>
      </c>
      <c r="B205" s="11" t="s">
        <v>17</v>
      </c>
      <c r="C205">
        <v>12</v>
      </c>
      <c r="D205" s="5" t="s">
        <v>65</v>
      </c>
      <c r="E205" s="13">
        <v>52338840.255000003</v>
      </c>
      <c r="F205" s="13">
        <v>21172105.98</v>
      </c>
      <c r="G205" s="13">
        <v>11590772.49</v>
      </c>
    </row>
    <row r="206" spans="1:7">
      <c r="A206" s="3">
        <v>18</v>
      </c>
      <c r="B206" s="4" t="s">
        <v>18</v>
      </c>
      <c r="C206">
        <v>1</v>
      </c>
      <c r="D206" s="5" t="s">
        <v>54</v>
      </c>
      <c r="E206" s="13">
        <v>55671819.645000003</v>
      </c>
      <c r="F206" s="13">
        <v>17763374.48</v>
      </c>
      <c r="G206" s="13">
        <v>18206381.170000002</v>
      </c>
    </row>
    <row r="207" spans="1:7">
      <c r="A207" s="4">
        <v>18</v>
      </c>
      <c r="B207" s="4" t="s">
        <v>18</v>
      </c>
      <c r="C207">
        <v>2</v>
      </c>
      <c r="D207" s="5" t="s">
        <v>55</v>
      </c>
      <c r="E207" s="13">
        <v>58354798.905000001</v>
      </c>
      <c r="F207" s="13">
        <v>18619440.719999999</v>
      </c>
      <c r="G207" s="13">
        <v>19083797.129999999</v>
      </c>
    </row>
    <row r="208" spans="1:7">
      <c r="A208" s="3">
        <v>18</v>
      </c>
      <c r="B208" s="4" t="s">
        <v>18</v>
      </c>
      <c r="C208">
        <v>3</v>
      </c>
      <c r="D208" s="5" t="s">
        <v>56</v>
      </c>
      <c r="E208" s="13">
        <v>54330330.015000001</v>
      </c>
      <c r="F208" s="13">
        <v>17335341.359999999</v>
      </c>
      <c r="G208" s="13">
        <v>17767673.190000001</v>
      </c>
    </row>
    <row r="209" spans="1:7">
      <c r="A209" s="4">
        <v>18</v>
      </c>
      <c r="B209" s="4" t="s">
        <v>18</v>
      </c>
      <c r="C209">
        <v>4</v>
      </c>
      <c r="D209" s="5" t="s">
        <v>57</v>
      </c>
      <c r="E209" s="13">
        <v>52988840.384999998</v>
      </c>
      <c r="F209" s="13">
        <v>16907308.239999998</v>
      </c>
      <c r="G209" s="13">
        <v>17328965.210000001</v>
      </c>
    </row>
    <row r="210" spans="1:7">
      <c r="A210" s="3">
        <v>18</v>
      </c>
      <c r="B210" s="4" t="s">
        <v>18</v>
      </c>
      <c r="C210">
        <v>5</v>
      </c>
      <c r="D210" s="5" t="s">
        <v>58</v>
      </c>
      <c r="E210" s="13">
        <v>53659585.200000003</v>
      </c>
      <c r="F210" s="13">
        <v>17121324.800000001</v>
      </c>
      <c r="G210" s="13">
        <v>17548319.199999999</v>
      </c>
    </row>
    <row r="211" spans="1:7">
      <c r="A211" s="4">
        <v>18</v>
      </c>
      <c r="B211" s="4" t="s">
        <v>18</v>
      </c>
      <c r="C211">
        <v>6</v>
      </c>
      <c r="D211" s="5" t="s">
        <v>59</v>
      </c>
      <c r="E211" s="13">
        <v>52318095.57</v>
      </c>
      <c r="F211" s="13">
        <v>16693291.68</v>
      </c>
      <c r="G211" s="13">
        <v>17109611.219999999</v>
      </c>
    </row>
    <row r="212" spans="1:7">
      <c r="A212" s="3">
        <v>18</v>
      </c>
      <c r="B212" s="4" t="s">
        <v>18</v>
      </c>
      <c r="C212">
        <v>7</v>
      </c>
      <c r="D212" s="5" t="s">
        <v>60</v>
      </c>
      <c r="E212" s="13">
        <v>59025543.719999999</v>
      </c>
      <c r="F212" s="13">
        <v>18833457.280000001</v>
      </c>
      <c r="G212" s="13">
        <v>19303151.120000001</v>
      </c>
    </row>
    <row r="213" spans="1:7">
      <c r="A213" s="4">
        <v>18</v>
      </c>
      <c r="B213" s="4" t="s">
        <v>18</v>
      </c>
      <c r="C213">
        <v>8</v>
      </c>
      <c r="D213" s="5" t="s">
        <v>61</v>
      </c>
      <c r="E213" s="13">
        <v>52318095.57</v>
      </c>
      <c r="F213" s="13">
        <v>16693291.68</v>
      </c>
      <c r="G213" s="13">
        <v>17109611.219999999</v>
      </c>
    </row>
    <row r="214" spans="1:7">
      <c r="A214" s="3">
        <v>18</v>
      </c>
      <c r="B214" s="4" t="s">
        <v>18</v>
      </c>
      <c r="C214">
        <v>9</v>
      </c>
      <c r="D214" s="5" t="s">
        <v>62</v>
      </c>
      <c r="E214" s="13">
        <v>55671819.645000003</v>
      </c>
      <c r="F214" s="13">
        <v>17763374.48</v>
      </c>
      <c r="G214" s="13">
        <v>18206381.170000002</v>
      </c>
    </row>
    <row r="215" spans="1:7">
      <c r="A215" s="4">
        <v>18</v>
      </c>
      <c r="B215" s="4" t="s">
        <v>18</v>
      </c>
      <c r="C215">
        <v>10</v>
      </c>
      <c r="D215" s="5" t="s">
        <v>63</v>
      </c>
      <c r="E215" s="13">
        <v>57013309.274999999</v>
      </c>
      <c r="F215" s="13">
        <v>18191407.600000001</v>
      </c>
      <c r="G215" s="13">
        <v>18645089.149999999</v>
      </c>
    </row>
    <row r="216" spans="1:7">
      <c r="A216" s="3">
        <v>18</v>
      </c>
      <c r="B216" s="4" t="s">
        <v>18</v>
      </c>
      <c r="C216">
        <v>11</v>
      </c>
      <c r="D216" s="5" t="s">
        <v>64</v>
      </c>
      <c r="E216" s="13">
        <v>61037778.164999999</v>
      </c>
      <c r="F216" s="13">
        <v>19475506.960000001</v>
      </c>
      <c r="G216" s="13">
        <v>19961213.09</v>
      </c>
    </row>
    <row r="217" spans="1:7">
      <c r="A217" s="11">
        <v>18</v>
      </c>
      <c r="B217" s="11" t="s">
        <v>18</v>
      </c>
      <c r="C217">
        <v>12</v>
      </c>
      <c r="D217" s="5" t="s">
        <v>65</v>
      </c>
      <c r="E217" s="13">
        <v>58354798.905000001</v>
      </c>
      <c r="F217" s="13">
        <v>18619440.719999999</v>
      </c>
      <c r="G217" s="13">
        <v>19083797.129999999</v>
      </c>
    </row>
    <row r="218" spans="1:7">
      <c r="A218" s="3">
        <v>19</v>
      </c>
      <c r="B218" s="4" t="s">
        <v>19</v>
      </c>
      <c r="C218">
        <v>1</v>
      </c>
      <c r="D218" s="5" t="s">
        <v>54</v>
      </c>
      <c r="E218" s="13">
        <v>13774470.84</v>
      </c>
      <c r="F218" s="13">
        <v>2435301.34</v>
      </c>
      <c r="G218" s="13">
        <v>3797650.06</v>
      </c>
    </row>
    <row r="219" spans="1:7">
      <c r="A219" s="4">
        <v>19</v>
      </c>
      <c r="B219" s="4" t="s">
        <v>19</v>
      </c>
      <c r="C219">
        <v>2</v>
      </c>
      <c r="D219" s="5" t="s">
        <v>55</v>
      </c>
      <c r="E219" s="13">
        <v>14438300.76</v>
      </c>
      <c r="F219" s="13">
        <v>2552665.2599999998</v>
      </c>
      <c r="G219" s="13">
        <v>3980669.34</v>
      </c>
    </row>
    <row r="220" spans="1:7">
      <c r="A220" s="3">
        <v>19</v>
      </c>
      <c r="B220" s="4" t="s">
        <v>19</v>
      </c>
      <c r="C220">
        <v>3</v>
      </c>
      <c r="D220" s="5" t="s">
        <v>56</v>
      </c>
      <c r="E220" s="13">
        <v>13442555.880000001</v>
      </c>
      <c r="F220" s="13">
        <v>2376619.38</v>
      </c>
      <c r="G220" s="13">
        <v>3706140.42</v>
      </c>
    </row>
    <row r="221" spans="1:7">
      <c r="A221" s="4">
        <v>19</v>
      </c>
      <c r="B221" s="4" t="s">
        <v>19</v>
      </c>
      <c r="C221">
        <v>4</v>
      </c>
      <c r="D221" s="5" t="s">
        <v>57</v>
      </c>
      <c r="E221" s="13">
        <v>13110640.92</v>
      </c>
      <c r="F221" s="13">
        <v>2317937.42</v>
      </c>
      <c r="G221" s="13">
        <v>3614630.78</v>
      </c>
    </row>
    <row r="222" spans="1:7">
      <c r="A222" s="3">
        <v>19</v>
      </c>
      <c r="B222" s="4" t="s">
        <v>19</v>
      </c>
      <c r="C222">
        <v>5</v>
      </c>
      <c r="D222" s="5" t="s">
        <v>58</v>
      </c>
      <c r="E222" s="13">
        <v>13276598.4</v>
      </c>
      <c r="F222" s="13">
        <v>2347278.4</v>
      </c>
      <c r="G222" s="13">
        <v>3660385.6</v>
      </c>
    </row>
    <row r="223" spans="1:7">
      <c r="A223" s="4">
        <v>19</v>
      </c>
      <c r="B223" s="4" t="s">
        <v>19</v>
      </c>
      <c r="C223">
        <v>6</v>
      </c>
      <c r="D223" s="5" t="s">
        <v>59</v>
      </c>
      <c r="E223" s="13">
        <v>12944683.439999999</v>
      </c>
      <c r="F223" s="13">
        <v>2288596.44</v>
      </c>
      <c r="G223" s="13">
        <v>3568875.96</v>
      </c>
    </row>
    <row r="224" spans="1:7">
      <c r="A224" s="3">
        <v>19</v>
      </c>
      <c r="B224" s="4" t="s">
        <v>19</v>
      </c>
      <c r="C224">
        <v>7</v>
      </c>
      <c r="D224" s="5" t="s">
        <v>60</v>
      </c>
      <c r="E224" s="13">
        <v>14604258.24</v>
      </c>
      <c r="F224" s="13">
        <v>2582006.2400000002</v>
      </c>
      <c r="G224" s="13">
        <v>4026424.16</v>
      </c>
    </row>
    <row r="225" spans="1:7">
      <c r="A225" s="4">
        <v>19</v>
      </c>
      <c r="B225" s="4" t="s">
        <v>19</v>
      </c>
      <c r="C225">
        <v>8</v>
      </c>
      <c r="D225" s="5" t="s">
        <v>61</v>
      </c>
      <c r="E225" s="13">
        <v>12944683.439999999</v>
      </c>
      <c r="F225" s="13">
        <v>2288596.44</v>
      </c>
      <c r="G225" s="13">
        <v>3568875.96</v>
      </c>
    </row>
    <row r="226" spans="1:7">
      <c r="A226" s="3">
        <v>19</v>
      </c>
      <c r="B226" s="4" t="s">
        <v>19</v>
      </c>
      <c r="C226">
        <v>9</v>
      </c>
      <c r="D226" s="5" t="s">
        <v>62</v>
      </c>
      <c r="E226" s="13">
        <v>13774470.84</v>
      </c>
      <c r="F226" s="13">
        <v>2435301.34</v>
      </c>
      <c r="G226" s="13">
        <v>3797650.06</v>
      </c>
    </row>
    <row r="227" spans="1:7">
      <c r="A227" s="4">
        <v>19</v>
      </c>
      <c r="B227" s="4" t="s">
        <v>19</v>
      </c>
      <c r="C227">
        <v>10</v>
      </c>
      <c r="D227" s="5" t="s">
        <v>63</v>
      </c>
      <c r="E227" s="13">
        <v>14106385.800000001</v>
      </c>
      <c r="F227" s="13">
        <v>2493983.2999999998</v>
      </c>
      <c r="G227" s="13">
        <v>3889159.7</v>
      </c>
    </row>
    <row r="228" spans="1:7">
      <c r="A228" s="3">
        <v>19</v>
      </c>
      <c r="B228" s="4" t="s">
        <v>19</v>
      </c>
      <c r="C228">
        <v>11</v>
      </c>
      <c r="D228" s="5" t="s">
        <v>64</v>
      </c>
      <c r="E228" s="13">
        <v>15102130.68</v>
      </c>
      <c r="F228" s="13">
        <v>2670029.1800000002</v>
      </c>
      <c r="G228" s="13">
        <v>4163688.62</v>
      </c>
    </row>
    <row r="229" spans="1:7">
      <c r="A229" s="11">
        <v>19</v>
      </c>
      <c r="B229" s="11" t="s">
        <v>19</v>
      </c>
      <c r="C229">
        <v>12</v>
      </c>
      <c r="D229" s="5" t="s">
        <v>65</v>
      </c>
      <c r="E229" s="13">
        <v>14438300.76</v>
      </c>
      <c r="F229" s="13">
        <v>2552665.2599999998</v>
      </c>
      <c r="G229" s="13">
        <v>3980669.34</v>
      </c>
    </row>
    <row r="230" spans="1:7">
      <c r="A230" s="3">
        <v>20</v>
      </c>
      <c r="B230" s="4" t="s">
        <v>20</v>
      </c>
      <c r="C230">
        <v>1</v>
      </c>
      <c r="D230" s="5" t="s">
        <v>54</v>
      </c>
      <c r="E230" s="13">
        <v>71742035.625</v>
      </c>
      <c r="F230" s="13">
        <v>15184820.119999999</v>
      </c>
      <c r="G230" s="13">
        <v>14073644.34</v>
      </c>
    </row>
    <row r="231" spans="1:7">
      <c r="A231" s="4">
        <v>20</v>
      </c>
      <c r="B231" s="4" t="s">
        <v>20</v>
      </c>
      <c r="C231">
        <v>2</v>
      </c>
      <c r="D231" s="5" t="s">
        <v>55</v>
      </c>
      <c r="E231" s="13">
        <v>75199483.125</v>
      </c>
      <c r="F231" s="13">
        <v>15916618.68</v>
      </c>
      <c r="G231" s="13">
        <v>14751892.26</v>
      </c>
    </row>
    <row r="232" spans="1:7">
      <c r="A232" s="3">
        <v>20</v>
      </c>
      <c r="B232" s="4" t="s">
        <v>20</v>
      </c>
      <c r="C232">
        <v>3</v>
      </c>
      <c r="D232" s="5" t="s">
        <v>56</v>
      </c>
      <c r="E232" s="13">
        <v>70013311.875</v>
      </c>
      <c r="F232" s="13">
        <v>14818920.84</v>
      </c>
      <c r="G232" s="13">
        <v>13734520.380000001</v>
      </c>
    </row>
    <row r="233" spans="1:7">
      <c r="A233" s="4">
        <v>20</v>
      </c>
      <c r="B233" s="4" t="s">
        <v>20</v>
      </c>
      <c r="C233">
        <v>4</v>
      </c>
      <c r="D233" s="5" t="s">
        <v>57</v>
      </c>
      <c r="E233" s="13">
        <v>68284588.125</v>
      </c>
      <c r="F233" s="13">
        <v>14453021.560000001</v>
      </c>
      <c r="G233" s="13">
        <v>13395396.42</v>
      </c>
    </row>
    <row r="234" spans="1:7">
      <c r="A234" s="3">
        <v>20</v>
      </c>
      <c r="B234" s="4" t="s">
        <v>20</v>
      </c>
      <c r="C234">
        <v>5</v>
      </c>
      <c r="D234" s="5" t="s">
        <v>58</v>
      </c>
      <c r="E234" s="13">
        <v>69148950</v>
      </c>
      <c r="F234" s="13">
        <v>14635971.199999999</v>
      </c>
      <c r="G234" s="13">
        <v>13564958.4</v>
      </c>
    </row>
    <row r="235" spans="1:7">
      <c r="A235" s="4">
        <v>20</v>
      </c>
      <c r="B235" s="4" t="s">
        <v>20</v>
      </c>
      <c r="C235">
        <v>6</v>
      </c>
      <c r="D235" s="5" t="s">
        <v>59</v>
      </c>
      <c r="E235" s="13">
        <v>67420226.25</v>
      </c>
      <c r="F235" s="13">
        <v>14270071.92</v>
      </c>
      <c r="G235" s="13">
        <v>13225834.439999999</v>
      </c>
    </row>
    <row r="236" spans="1:7">
      <c r="A236" s="3">
        <v>20</v>
      </c>
      <c r="B236" s="4" t="s">
        <v>20</v>
      </c>
      <c r="C236">
        <v>7</v>
      </c>
      <c r="D236" s="5" t="s">
        <v>60</v>
      </c>
      <c r="E236" s="13">
        <v>76063845</v>
      </c>
      <c r="F236" s="13">
        <v>16099568.32</v>
      </c>
      <c r="G236" s="13">
        <v>14921454.24</v>
      </c>
    </row>
    <row r="237" spans="1:7">
      <c r="A237" s="4">
        <v>20</v>
      </c>
      <c r="B237" s="4" t="s">
        <v>20</v>
      </c>
      <c r="C237">
        <v>8</v>
      </c>
      <c r="D237" s="5" t="s">
        <v>61</v>
      </c>
      <c r="E237" s="13">
        <v>67420226.25</v>
      </c>
      <c r="F237" s="13">
        <v>14270071.92</v>
      </c>
      <c r="G237" s="13">
        <v>13225834.439999999</v>
      </c>
    </row>
    <row r="238" spans="1:7">
      <c r="A238" s="3">
        <v>20</v>
      </c>
      <c r="B238" s="4" t="s">
        <v>20</v>
      </c>
      <c r="C238">
        <v>9</v>
      </c>
      <c r="D238" s="5" t="s">
        <v>62</v>
      </c>
      <c r="E238" s="13">
        <v>71742035.625</v>
      </c>
      <c r="F238" s="13">
        <v>15184820.119999999</v>
      </c>
      <c r="G238" s="13">
        <v>14073644.34</v>
      </c>
    </row>
    <row r="239" spans="1:7">
      <c r="A239" s="4">
        <v>20</v>
      </c>
      <c r="B239" s="4" t="s">
        <v>20</v>
      </c>
      <c r="C239">
        <v>10</v>
      </c>
      <c r="D239" s="5" t="s">
        <v>63</v>
      </c>
      <c r="E239" s="13">
        <v>73470759.375</v>
      </c>
      <c r="F239" s="13">
        <v>15550719.4</v>
      </c>
      <c r="G239" s="13">
        <v>14412768.300000001</v>
      </c>
    </row>
    <row r="240" spans="1:7">
      <c r="A240" s="3">
        <v>20</v>
      </c>
      <c r="B240" s="4" t="s">
        <v>20</v>
      </c>
      <c r="C240">
        <v>11</v>
      </c>
      <c r="D240" s="5" t="s">
        <v>64</v>
      </c>
      <c r="E240" s="13">
        <v>78656930.625</v>
      </c>
      <c r="F240" s="13">
        <v>16648417.24</v>
      </c>
      <c r="G240" s="13">
        <v>15430140.18</v>
      </c>
    </row>
    <row r="241" spans="1:7">
      <c r="A241" s="11">
        <v>20</v>
      </c>
      <c r="B241" s="11" t="s">
        <v>20</v>
      </c>
      <c r="C241">
        <v>12</v>
      </c>
      <c r="D241" s="5" t="s">
        <v>65</v>
      </c>
      <c r="E241" s="13">
        <v>75199483.125</v>
      </c>
      <c r="F241" s="13">
        <v>15916618.68</v>
      </c>
      <c r="G241" s="13">
        <v>14751892.26</v>
      </c>
    </row>
    <row r="242" spans="1:7">
      <c r="A242" s="3">
        <v>21</v>
      </c>
      <c r="B242" s="4" t="s">
        <v>21</v>
      </c>
      <c r="C242">
        <v>1</v>
      </c>
      <c r="D242" s="5" t="s">
        <v>54</v>
      </c>
      <c r="E242" s="13">
        <v>56819692.215000004</v>
      </c>
      <c r="F242" s="13">
        <v>13465783.880000001</v>
      </c>
      <c r="G242" s="13">
        <v>13626861.98</v>
      </c>
    </row>
    <row r="243" spans="1:7">
      <c r="A243" s="4">
        <v>21</v>
      </c>
      <c r="B243" s="4" t="s">
        <v>21</v>
      </c>
      <c r="C243">
        <v>2</v>
      </c>
      <c r="D243" s="5" t="s">
        <v>55</v>
      </c>
      <c r="E243" s="13">
        <v>59557990.634999998</v>
      </c>
      <c r="F243" s="13">
        <v>14114737.32</v>
      </c>
      <c r="G243" s="13">
        <v>14283578.220000001</v>
      </c>
    </row>
    <row r="244" spans="1:7">
      <c r="A244" s="3">
        <v>21</v>
      </c>
      <c r="B244" s="4" t="s">
        <v>21</v>
      </c>
      <c r="C244">
        <v>3</v>
      </c>
      <c r="D244" s="5" t="s">
        <v>56</v>
      </c>
      <c r="E244" s="13">
        <v>55450543.005000003</v>
      </c>
      <c r="F244" s="13">
        <v>13141307.16</v>
      </c>
      <c r="G244" s="13">
        <v>13298503.859999999</v>
      </c>
    </row>
    <row r="245" spans="1:7">
      <c r="A245" s="4">
        <v>21</v>
      </c>
      <c r="B245" s="4" t="s">
        <v>21</v>
      </c>
      <c r="C245">
        <v>4</v>
      </c>
      <c r="D245" s="5" t="s">
        <v>57</v>
      </c>
      <c r="E245" s="13">
        <v>54081393.795000002</v>
      </c>
      <c r="F245" s="13">
        <v>12816830.439999999</v>
      </c>
      <c r="G245" s="13">
        <v>12970145.74</v>
      </c>
    </row>
    <row r="246" spans="1:7">
      <c r="A246" s="3">
        <v>21</v>
      </c>
      <c r="B246" s="4" t="s">
        <v>21</v>
      </c>
      <c r="C246">
        <v>5</v>
      </c>
      <c r="D246" s="5" t="s">
        <v>58</v>
      </c>
      <c r="E246" s="13">
        <v>54765968.399999999</v>
      </c>
      <c r="F246" s="13">
        <v>12979068.800000001</v>
      </c>
      <c r="G246" s="13">
        <v>13134324.800000001</v>
      </c>
    </row>
    <row r="247" spans="1:7">
      <c r="A247" s="4">
        <v>21</v>
      </c>
      <c r="B247" s="4" t="s">
        <v>21</v>
      </c>
      <c r="C247">
        <v>6</v>
      </c>
      <c r="D247" s="5" t="s">
        <v>59</v>
      </c>
      <c r="E247" s="13">
        <v>53396819.189999998</v>
      </c>
      <c r="F247" s="13">
        <v>12654592.08</v>
      </c>
      <c r="G247" s="13">
        <v>12805966.68</v>
      </c>
    </row>
    <row r="248" spans="1:7">
      <c r="A248" s="3">
        <v>21</v>
      </c>
      <c r="B248" s="4" t="s">
        <v>21</v>
      </c>
      <c r="C248">
        <v>7</v>
      </c>
      <c r="D248" s="5" t="s">
        <v>60</v>
      </c>
      <c r="E248" s="13">
        <v>60242565.240000002</v>
      </c>
      <c r="F248" s="13">
        <v>14276975.68</v>
      </c>
      <c r="G248" s="13">
        <v>14447757.279999999</v>
      </c>
    </row>
    <row r="249" spans="1:7">
      <c r="A249" s="4">
        <v>21</v>
      </c>
      <c r="B249" s="4" t="s">
        <v>21</v>
      </c>
      <c r="C249">
        <v>8</v>
      </c>
      <c r="D249" s="5" t="s">
        <v>61</v>
      </c>
      <c r="E249" s="13">
        <v>53396819.189999998</v>
      </c>
      <c r="F249" s="13">
        <v>12654592.08</v>
      </c>
      <c r="G249" s="13">
        <v>12805966.68</v>
      </c>
    </row>
    <row r="250" spans="1:7">
      <c r="A250" s="3">
        <v>21</v>
      </c>
      <c r="B250" s="4" t="s">
        <v>21</v>
      </c>
      <c r="C250">
        <v>9</v>
      </c>
      <c r="D250" s="5" t="s">
        <v>62</v>
      </c>
      <c r="E250" s="13">
        <v>56819692.215000004</v>
      </c>
      <c r="F250" s="13">
        <v>13465783.880000001</v>
      </c>
      <c r="G250" s="13">
        <v>13626861.98</v>
      </c>
    </row>
    <row r="251" spans="1:7">
      <c r="A251" s="4">
        <v>21</v>
      </c>
      <c r="B251" s="4" t="s">
        <v>21</v>
      </c>
      <c r="C251">
        <v>10</v>
      </c>
      <c r="D251" s="5" t="s">
        <v>63</v>
      </c>
      <c r="E251" s="13">
        <v>58188841.424999997</v>
      </c>
      <c r="F251" s="13">
        <v>13790260.6</v>
      </c>
      <c r="G251" s="13">
        <v>13955220.1</v>
      </c>
    </row>
    <row r="252" spans="1:7">
      <c r="A252" s="3">
        <v>21</v>
      </c>
      <c r="B252" s="4" t="s">
        <v>21</v>
      </c>
      <c r="C252">
        <v>11</v>
      </c>
      <c r="D252" s="5" t="s">
        <v>64</v>
      </c>
      <c r="E252" s="13">
        <v>62296289.055</v>
      </c>
      <c r="F252" s="13">
        <v>14763690.76</v>
      </c>
      <c r="G252" s="13">
        <v>14940294.460000001</v>
      </c>
    </row>
    <row r="253" spans="1:7">
      <c r="A253" s="11">
        <v>21</v>
      </c>
      <c r="B253" s="11" t="s">
        <v>21</v>
      </c>
      <c r="C253">
        <v>12</v>
      </c>
      <c r="D253" s="5" t="s">
        <v>65</v>
      </c>
      <c r="E253" s="13">
        <v>59557990.634999998</v>
      </c>
      <c r="F253" s="13">
        <v>14114737.32</v>
      </c>
      <c r="G253" s="13">
        <v>14283578.220000001</v>
      </c>
    </row>
    <row r="254" spans="1:7">
      <c r="A254" s="3">
        <v>22</v>
      </c>
      <c r="B254" s="4" t="s">
        <v>22</v>
      </c>
      <c r="C254">
        <v>1</v>
      </c>
      <c r="D254" s="5" t="s">
        <v>54</v>
      </c>
      <c r="E254" s="13">
        <v>120717931.94499999</v>
      </c>
      <c r="F254" s="13">
        <v>36099761.039999999</v>
      </c>
      <c r="G254" s="13">
        <v>33955459.359999999</v>
      </c>
    </row>
    <row r="255" spans="1:7">
      <c r="A255" s="4">
        <v>22</v>
      </c>
      <c r="B255" s="4" t="s">
        <v>22</v>
      </c>
      <c r="C255">
        <v>2</v>
      </c>
      <c r="D255" s="5" t="s">
        <v>55</v>
      </c>
      <c r="E255" s="13">
        <v>126535663.605</v>
      </c>
      <c r="F255" s="13">
        <v>37839508.560000002</v>
      </c>
      <c r="G255" s="13">
        <v>35591867.039999999</v>
      </c>
    </row>
    <row r="256" spans="1:7">
      <c r="A256" s="3">
        <v>22</v>
      </c>
      <c r="B256" s="4" t="s">
        <v>22</v>
      </c>
      <c r="C256">
        <v>3</v>
      </c>
      <c r="D256" s="5" t="s">
        <v>56</v>
      </c>
      <c r="E256" s="13">
        <v>117809066.11499999</v>
      </c>
      <c r="F256" s="13">
        <v>35229887.280000001</v>
      </c>
      <c r="G256" s="13">
        <v>33137255.52</v>
      </c>
    </row>
    <row r="257" spans="1:7">
      <c r="A257" s="4">
        <v>22</v>
      </c>
      <c r="B257" s="4" t="s">
        <v>22</v>
      </c>
      <c r="C257">
        <v>4</v>
      </c>
      <c r="D257" s="5" t="s">
        <v>57</v>
      </c>
      <c r="E257" s="13">
        <v>114900200.285</v>
      </c>
      <c r="F257" s="13">
        <v>34360013.520000003</v>
      </c>
      <c r="G257" s="13">
        <v>32319051.68</v>
      </c>
    </row>
    <row r="258" spans="1:7">
      <c r="A258" s="3">
        <v>22</v>
      </c>
      <c r="B258" s="4" t="s">
        <v>22</v>
      </c>
      <c r="C258">
        <v>5</v>
      </c>
      <c r="D258" s="5" t="s">
        <v>58</v>
      </c>
      <c r="E258" s="13">
        <v>116354633.2</v>
      </c>
      <c r="F258" s="13">
        <v>34794950.399999999</v>
      </c>
      <c r="G258" s="13">
        <v>32728153.600000001</v>
      </c>
    </row>
    <row r="259" spans="1:7">
      <c r="A259" s="4">
        <v>22</v>
      </c>
      <c r="B259" s="4" t="s">
        <v>22</v>
      </c>
      <c r="C259">
        <v>6</v>
      </c>
      <c r="D259" s="5" t="s">
        <v>59</v>
      </c>
      <c r="E259" s="13">
        <v>113445767.37</v>
      </c>
      <c r="F259" s="13">
        <v>33925076.640000001</v>
      </c>
      <c r="G259" s="13">
        <v>31909949.760000002</v>
      </c>
    </row>
    <row r="260" spans="1:7">
      <c r="A260" s="3">
        <v>22</v>
      </c>
      <c r="B260" s="4" t="s">
        <v>22</v>
      </c>
      <c r="C260">
        <v>7</v>
      </c>
      <c r="D260" s="5" t="s">
        <v>60</v>
      </c>
      <c r="E260" s="13">
        <v>127990096.52</v>
      </c>
      <c r="F260" s="13">
        <v>38274445.439999998</v>
      </c>
      <c r="G260" s="13">
        <v>36000968.960000001</v>
      </c>
    </row>
    <row r="261" spans="1:7">
      <c r="A261" s="4">
        <v>22</v>
      </c>
      <c r="B261" s="4" t="s">
        <v>22</v>
      </c>
      <c r="C261">
        <v>8</v>
      </c>
      <c r="D261" s="5" t="s">
        <v>61</v>
      </c>
      <c r="E261" s="13">
        <v>113445767.37</v>
      </c>
      <c r="F261" s="13">
        <v>33925076.640000001</v>
      </c>
      <c r="G261" s="13">
        <v>31909949.760000002</v>
      </c>
    </row>
    <row r="262" spans="1:7">
      <c r="A262" s="3">
        <v>22</v>
      </c>
      <c r="B262" s="4" t="s">
        <v>22</v>
      </c>
      <c r="C262">
        <v>9</v>
      </c>
      <c r="D262" s="5" t="s">
        <v>62</v>
      </c>
      <c r="E262" s="13">
        <v>120717931.94499999</v>
      </c>
      <c r="F262" s="13">
        <v>36099761.039999999</v>
      </c>
      <c r="G262" s="13">
        <v>33955459.359999999</v>
      </c>
    </row>
    <row r="263" spans="1:7">
      <c r="A263" s="4">
        <v>22</v>
      </c>
      <c r="B263" s="4" t="s">
        <v>22</v>
      </c>
      <c r="C263">
        <v>10</v>
      </c>
      <c r="D263" s="5" t="s">
        <v>63</v>
      </c>
      <c r="E263" s="13">
        <v>123626797.77500001</v>
      </c>
      <c r="F263" s="13">
        <v>36969634.799999997</v>
      </c>
      <c r="G263" s="13">
        <v>34773663.200000003</v>
      </c>
    </row>
    <row r="264" spans="1:7">
      <c r="A264" s="3">
        <v>22</v>
      </c>
      <c r="B264" s="4" t="s">
        <v>22</v>
      </c>
      <c r="C264">
        <v>11</v>
      </c>
      <c r="D264" s="5" t="s">
        <v>64</v>
      </c>
      <c r="E264" s="13">
        <v>132353395.265</v>
      </c>
      <c r="F264" s="13">
        <v>39579256.079999998</v>
      </c>
      <c r="G264" s="13">
        <v>37228274.719999999</v>
      </c>
    </row>
    <row r="265" spans="1:7">
      <c r="A265" s="11">
        <v>22</v>
      </c>
      <c r="B265" s="11" t="s">
        <v>22</v>
      </c>
      <c r="C265">
        <v>12</v>
      </c>
      <c r="D265" s="5" t="s">
        <v>65</v>
      </c>
      <c r="E265" s="13">
        <v>126535663.605</v>
      </c>
      <c r="F265" s="13">
        <v>37839508.560000002</v>
      </c>
      <c r="G265" s="13">
        <v>35591867.039999999</v>
      </c>
    </row>
    <row r="266" spans="1:7">
      <c r="A266" s="3">
        <v>23</v>
      </c>
      <c r="B266" s="4" t="s">
        <v>23</v>
      </c>
      <c r="C266">
        <v>1</v>
      </c>
      <c r="D266" s="5" t="s">
        <v>54</v>
      </c>
      <c r="E266" s="13">
        <v>53950010.789999999</v>
      </c>
      <c r="F266" s="13">
        <v>9024940.2599999998</v>
      </c>
      <c r="G266" s="13">
        <v>13850253.16</v>
      </c>
    </row>
    <row r="267" spans="1:7">
      <c r="A267" s="4">
        <v>23</v>
      </c>
      <c r="B267" s="4" t="s">
        <v>23</v>
      </c>
      <c r="C267">
        <v>2</v>
      </c>
      <c r="D267" s="5" t="s">
        <v>55</v>
      </c>
      <c r="E267" s="13">
        <v>56550011.310000002</v>
      </c>
      <c r="F267" s="13">
        <v>9459877.1400000006</v>
      </c>
      <c r="G267" s="13">
        <v>14517735.24</v>
      </c>
    </row>
    <row r="268" spans="1:7">
      <c r="A268" s="3">
        <v>23</v>
      </c>
      <c r="B268" s="4" t="s">
        <v>23</v>
      </c>
      <c r="C268">
        <v>3</v>
      </c>
      <c r="D268" s="5" t="s">
        <v>56</v>
      </c>
      <c r="E268" s="13">
        <v>52650010.530000001</v>
      </c>
      <c r="F268" s="13">
        <v>8807471.8200000003</v>
      </c>
      <c r="G268" s="13">
        <v>13516512.119999999</v>
      </c>
    </row>
    <row r="269" spans="1:7">
      <c r="A269" s="4">
        <v>23</v>
      </c>
      <c r="B269" s="4" t="s">
        <v>23</v>
      </c>
      <c r="C269">
        <v>4</v>
      </c>
      <c r="D269" s="5" t="s">
        <v>57</v>
      </c>
      <c r="E269" s="13">
        <v>51350010.270000003</v>
      </c>
      <c r="F269" s="13">
        <v>8590003.3800000008</v>
      </c>
      <c r="G269" s="13">
        <v>13182771.08</v>
      </c>
    </row>
    <row r="270" spans="1:7">
      <c r="A270" s="3">
        <v>23</v>
      </c>
      <c r="B270" s="4" t="s">
        <v>23</v>
      </c>
      <c r="C270">
        <v>5</v>
      </c>
      <c r="D270" s="5" t="s">
        <v>58</v>
      </c>
      <c r="E270" s="13">
        <v>52000010.399999999</v>
      </c>
      <c r="F270" s="13">
        <v>8698737.5999999996</v>
      </c>
      <c r="G270" s="13">
        <v>13349641.6</v>
      </c>
    </row>
    <row r="271" spans="1:7">
      <c r="A271" s="4">
        <v>23</v>
      </c>
      <c r="B271" s="4" t="s">
        <v>23</v>
      </c>
      <c r="C271">
        <v>6</v>
      </c>
      <c r="D271" s="5" t="s">
        <v>59</v>
      </c>
      <c r="E271" s="13">
        <v>50700010.140000001</v>
      </c>
      <c r="F271" s="13">
        <v>8481269.1600000001</v>
      </c>
      <c r="G271" s="13">
        <v>13015900.560000001</v>
      </c>
    </row>
    <row r="272" spans="1:7">
      <c r="A272" s="3">
        <v>23</v>
      </c>
      <c r="B272" s="4" t="s">
        <v>23</v>
      </c>
      <c r="C272">
        <v>7</v>
      </c>
      <c r="D272" s="5" t="s">
        <v>60</v>
      </c>
      <c r="E272" s="13">
        <v>57200011.439999998</v>
      </c>
      <c r="F272" s="13">
        <v>9568611.3599999994</v>
      </c>
      <c r="G272" s="13">
        <v>14684605.76</v>
      </c>
    </row>
    <row r="273" spans="1:7">
      <c r="A273" s="4">
        <v>23</v>
      </c>
      <c r="B273" s="4" t="s">
        <v>23</v>
      </c>
      <c r="C273">
        <v>8</v>
      </c>
      <c r="D273" s="5" t="s">
        <v>61</v>
      </c>
      <c r="E273" s="13">
        <v>50700010.140000001</v>
      </c>
      <c r="F273" s="13">
        <v>8481269.1600000001</v>
      </c>
      <c r="G273" s="13">
        <v>13015900.560000001</v>
      </c>
    </row>
    <row r="274" spans="1:7">
      <c r="A274" s="3">
        <v>23</v>
      </c>
      <c r="B274" s="4" t="s">
        <v>23</v>
      </c>
      <c r="C274">
        <v>9</v>
      </c>
      <c r="D274" s="5" t="s">
        <v>62</v>
      </c>
      <c r="E274" s="13">
        <v>53950010.789999999</v>
      </c>
      <c r="F274" s="13">
        <v>9024940.2599999998</v>
      </c>
      <c r="G274" s="13">
        <v>13850253.16</v>
      </c>
    </row>
    <row r="275" spans="1:7">
      <c r="A275" s="4">
        <v>23</v>
      </c>
      <c r="B275" s="4" t="s">
        <v>23</v>
      </c>
      <c r="C275">
        <v>10</v>
      </c>
      <c r="D275" s="5" t="s">
        <v>63</v>
      </c>
      <c r="E275" s="13">
        <v>55250011.049999997</v>
      </c>
      <c r="F275" s="13">
        <v>9242408.6999999993</v>
      </c>
      <c r="G275" s="13">
        <v>14183994.199999999</v>
      </c>
    </row>
    <row r="276" spans="1:7">
      <c r="A276" s="3">
        <v>23</v>
      </c>
      <c r="B276" s="4" t="s">
        <v>23</v>
      </c>
      <c r="C276">
        <v>11</v>
      </c>
      <c r="D276" s="5" t="s">
        <v>64</v>
      </c>
      <c r="E276" s="13">
        <v>59150011.829999998</v>
      </c>
      <c r="F276" s="13">
        <v>9894814.0199999996</v>
      </c>
      <c r="G276" s="13">
        <v>15185217.32</v>
      </c>
    </row>
    <row r="277" spans="1:7">
      <c r="A277" s="11">
        <v>23</v>
      </c>
      <c r="B277" s="11" t="s">
        <v>23</v>
      </c>
      <c r="C277">
        <v>12</v>
      </c>
      <c r="D277" s="5" t="s">
        <v>65</v>
      </c>
      <c r="E277" s="13">
        <v>56550011.310000002</v>
      </c>
      <c r="F277" s="13">
        <v>9459877.1400000006</v>
      </c>
      <c r="G277" s="13">
        <v>14517735.24</v>
      </c>
    </row>
    <row r="278" spans="1:7">
      <c r="A278" s="3">
        <v>24</v>
      </c>
      <c r="B278" s="4" t="s">
        <v>24</v>
      </c>
      <c r="C278">
        <v>1</v>
      </c>
      <c r="D278" s="5" t="s">
        <v>54</v>
      </c>
      <c r="E278" s="13">
        <v>30992559.390000001</v>
      </c>
      <c r="F278" s="13">
        <v>13322530.859999999</v>
      </c>
      <c r="G278" s="13">
        <v>9382429.5600000005</v>
      </c>
    </row>
    <row r="279" spans="1:7">
      <c r="A279" s="4">
        <v>24</v>
      </c>
      <c r="B279" s="4" t="s">
        <v>24</v>
      </c>
      <c r="C279">
        <v>2</v>
      </c>
      <c r="D279" s="5" t="s">
        <v>55</v>
      </c>
      <c r="E279" s="13">
        <v>32486176.710000001</v>
      </c>
      <c r="F279" s="13">
        <v>13964580.539999999</v>
      </c>
      <c r="G279" s="13">
        <v>9834594.8399999999</v>
      </c>
    </row>
    <row r="280" spans="1:7">
      <c r="A280" s="3">
        <v>24</v>
      </c>
      <c r="B280" s="4" t="s">
        <v>24</v>
      </c>
      <c r="C280">
        <v>3</v>
      </c>
      <c r="D280" s="5" t="s">
        <v>56</v>
      </c>
      <c r="E280" s="13">
        <v>30245750.73</v>
      </c>
      <c r="F280" s="13">
        <v>13001506.02</v>
      </c>
      <c r="G280" s="13">
        <v>9156346.9199999999</v>
      </c>
    </row>
    <row r="281" spans="1:7">
      <c r="A281" s="4">
        <v>24</v>
      </c>
      <c r="B281" s="4" t="s">
        <v>24</v>
      </c>
      <c r="C281">
        <v>4</v>
      </c>
      <c r="D281" s="5" t="s">
        <v>57</v>
      </c>
      <c r="E281" s="13">
        <v>29498942.07</v>
      </c>
      <c r="F281" s="13">
        <v>12680481.18</v>
      </c>
      <c r="G281" s="13">
        <v>8930264.2799999993</v>
      </c>
    </row>
    <row r="282" spans="1:7">
      <c r="A282" s="3">
        <v>24</v>
      </c>
      <c r="B282" s="4" t="s">
        <v>24</v>
      </c>
      <c r="C282">
        <v>5</v>
      </c>
      <c r="D282" s="5" t="s">
        <v>58</v>
      </c>
      <c r="E282" s="13">
        <v>29872346.399999999</v>
      </c>
      <c r="F282" s="13">
        <v>12840993.6</v>
      </c>
      <c r="G282" s="13">
        <v>9043305.5999999996</v>
      </c>
    </row>
    <row r="283" spans="1:7">
      <c r="A283" s="4">
        <v>24</v>
      </c>
      <c r="B283" s="4" t="s">
        <v>24</v>
      </c>
      <c r="C283">
        <v>6</v>
      </c>
      <c r="D283" s="5" t="s">
        <v>59</v>
      </c>
      <c r="E283" s="13">
        <v>29125537.739999998</v>
      </c>
      <c r="F283" s="13">
        <v>12519968.76</v>
      </c>
      <c r="G283" s="13">
        <v>8817222.9600000009</v>
      </c>
    </row>
    <row r="284" spans="1:7">
      <c r="A284" s="3">
        <v>24</v>
      </c>
      <c r="B284" s="4" t="s">
        <v>24</v>
      </c>
      <c r="C284">
        <v>7</v>
      </c>
      <c r="D284" s="5" t="s">
        <v>60</v>
      </c>
      <c r="E284" s="13">
        <v>32859581.039999999</v>
      </c>
      <c r="F284" s="13">
        <v>14125092.960000001</v>
      </c>
      <c r="G284" s="13">
        <v>9947636.1600000001</v>
      </c>
    </row>
    <row r="285" spans="1:7">
      <c r="A285" s="4">
        <v>24</v>
      </c>
      <c r="B285" s="4" t="s">
        <v>24</v>
      </c>
      <c r="C285">
        <v>8</v>
      </c>
      <c r="D285" s="5" t="s">
        <v>61</v>
      </c>
      <c r="E285" s="13">
        <v>29125537.739999998</v>
      </c>
      <c r="F285" s="13">
        <v>12519968.76</v>
      </c>
      <c r="G285" s="13">
        <v>8817222.9600000009</v>
      </c>
    </row>
    <row r="286" spans="1:7">
      <c r="A286" s="3">
        <v>24</v>
      </c>
      <c r="B286" s="4" t="s">
        <v>24</v>
      </c>
      <c r="C286">
        <v>9</v>
      </c>
      <c r="D286" s="5" t="s">
        <v>62</v>
      </c>
      <c r="E286" s="13">
        <v>30992559.390000001</v>
      </c>
      <c r="F286" s="13">
        <v>13322530.859999999</v>
      </c>
      <c r="G286" s="13">
        <v>9382429.5600000005</v>
      </c>
    </row>
    <row r="287" spans="1:7">
      <c r="A287" s="4">
        <v>24</v>
      </c>
      <c r="B287" s="4" t="s">
        <v>24</v>
      </c>
      <c r="C287">
        <v>10</v>
      </c>
      <c r="D287" s="5" t="s">
        <v>63</v>
      </c>
      <c r="E287" s="13">
        <v>31739368.050000001</v>
      </c>
      <c r="F287" s="13">
        <v>13643555.699999999</v>
      </c>
      <c r="G287" s="13">
        <v>9608512.1999999993</v>
      </c>
    </row>
    <row r="288" spans="1:7">
      <c r="A288" s="3">
        <v>24</v>
      </c>
      <c r="B288" s="4" t="s">
        <v>24</v>
      </c>
      <c r="C288">
        <v>11</v>
      </c>
      <c r="D288" s="5" t="s">
        <v>64</v>
      </c>
      <c r="E288" s="13">
        <v>33979794.030000001</v>
      </c>
      <c r="F288" s="13">
        <v>14606630.220000001</v>
      </c>
      <c r="G288" s="13">
        <v>10286760.119999999</v>
      </c>
    </row>
    <row r="289" spans="1:7">
      <c r="A289" s="11">
        <v>24</v>
      </c>
      <c r="B289" s="11" t="s">
        <v>24</v>
      </c>
      <c r="C289">
        <v>12</v>
      </c>
      <c r="D289" s="5" t="s">
        <v>65</v>
      </c>
      <c r="E289" s="13">
        <v>32486176.710000001</v>
      </c>
      <c r="F289" s="13">
        <v>13964580.539999999</v>
      </c>
      <c r="G289" s="13">
        <v>9834594.8399999999</v>
      </c>
    </row>
    <row r="290" spans="1:7">
      <c r="A290" s="3">
        <v>25</v>
      </c>
      <c r="B290" s="4" t="s">
        <v>25</v>
      </c>
      <c r="C290">
        <v>1</v>
      </c>
      <c r="D290" s="5" t="s">
        <v>54</v>
      </c>
      <c r="E290" s="13">
        <v>70402850.959999993</v>
      </c>
      <c r="F290" s="13">
        <v>13895542.939999999</v>
      </c>
      <c r="G290" s="13">
        <v>13738557.57</v>
      </c>
    </row>
    <row r="291" spans="1:7">
      <c r="A291" s="4">
        <v>25</v>
      </c>
      <c r="B291" s="4" t="s">
        <v>25</v>
      </c>
      <c r="C291">
        <v>2</v>
      </c>
      <c r="D291" s="5" t="s">
        <v>55</v>
      </c>
      <c r="E291" s="13">
        <v>73795759.439999998</v>
      </c>
      <c r="F291" s="13">
        <v>14565207.66</v>
      </c>
      <c r="G291" s="13">
        <v>14400656.73</v>
      </c>
    </row>
    <row r="292" spans="1:7">
      <c r="A292" s="3">
        <v>25</v>
      </c>
      <c r="B292" s="4" t="s">
        <v>25</v>
      </c>
      <c r="C292">
        <v>3</v>
      </c>
      <c r="D292" s="5" t="s">
        <v>56</v>
      </c>
      <c r="E292" s="13">
        <v>68706396.719999999</v>
      </c>
      <c r="F292" s="13">
        <v>13560710.58</v>
      </c>
      <c r="G292" s="13">
        <v>13407507.99</v>
      </c>
    </row>
    <row r="293" spans="1:7">
      <c r="A293" s="4">
        <v>25</v>
      </c>
      <c r="B293" s="4" t="s">
        <v>25</v>
      </c>
      <c r="C293">
        <v>4</v>
      </c>
      <c r="D293" s="5" t="s">
        <v>57</v>
      </c>
      <c r="E293" s="13">
        <v>67009942.479999997</v>
      </c>
      <c r="F293" s="13">
        <v>13225878.220000001</v>
      </c>
      <c r="G293" s="13">
        <v>13076458.41</v>
      </c>
    </row>
    <row r="294" spans="1:7">
      <c r="A294" s="3">
        <v>25</v>
      </c>
      <c r="B294" s="4" t="s">
        <v>25</v>
      </c>
      <c r="C294">
        <v>5</v>
      </c>
      <c r="D294" s="5" t="s">
        <v>58</v>
      </c>
      <c r="E294" s="13">
        <v>67858169.599999994</v>
      </c>
      <c r="F294" s="13">
        <v>13393294.4</v>
      </c>
      <c r="G294" s="13">
        <v>13241983.199999999</v>
      </c>
    </row>
    <row r="295" spans="1:7">
      <c r="A295" s="4">
        <v>25</v>
      </c>
      <c r="B295" s="4" t="s">
        <v>25</v>
      </c>
      <c r="C295">
        <v>6</v>
      </c>
      <c r="D295" s="5" t="s">
        <v>59</v>
      </c>
      <c r="E295" s="13">
        <v>66161715.359999999</v>
      </c>
      <c r="F295" s="13">
        <v>13058462.039999999</v>
      </c>
      <c r="G295" s="13">
        <v>12910933.619999999</v>
      </c>
    </row>
    <row r="296" spans="1:7">
      <c r="A296" s="3">
        <v>25</v>
      </c>
      <c r="B296" s="4" t="s">
        <v>25</v>
      </c>
      <c r="C296">
        <v>7</v>
      </c>
      <c r="D296" s="5" t="s">
        <v>60</v>
      </c>
      <c r="E296" s="13">
        <v>74643986.560000002</v>
      </c>
      <c r="F296" s="13">
        <v>14732623.84</v>
      </c>
      <c r="G296" s="13">
        <v>14566181.52</v>
      </c>
    </row>
    <row r="297" spans="1:7">
      <c r="A297" s="4">
        <v>25</v>
      </c>
      <c r="B297" s="4" t="s">
        <v>25</v>
      </c>
      <c r="C297">
        <v>8</v>
      </c>
      <c r="D297" s="5" t="s">
        <v>61</v>
      </c>
      <c r="E297" s="13">
        <v>66161715.359999999</v>
      </c>
      <c r="F297" s="13">
        <v>13058462.039999999</v>
      </c>
      <c r="G297" s="13">
        <v>12910933.619999999</v>
      </c>
    </row>
    <row r="298" spans="1:7">
      <c r="A298" s="3">
        <v>25</v>
      </c>
      <c r="B298" s="4" t="s">
        <v>25</v>
      </c>
      <c r="C298">
        <v>9</v>
      </c>
      <c r="D298" s="5" t="s">
        <v>62</v>
      </c>
      <c r="E298" s="13">
        <v>70402850.959999993</v>
      </c>
      <c r="F298" s="13">
        <v>13895542.939999999</v>
      </c>
      <c r="G298" s="13">
        <v>13738557.57</v>
      </c>
    </row>
    <row r="299" spans="1:7">
      <c r="A299" s="4">
        <v>25</v>
      </c>
      <c r="B299" s="4" t="s">
        <v>25</v>
      </c>
      <c r="C299">
        <v>10</v>
      </c>
      <c r="D299" s="5" t="s">
        <v>63</v>
      </c>
      <c r="E299" s="13">
        <v>72099305.200000003</v>
      </c>
      <c r="F299" s="13">
        <v>14230375.300000001</v>
      </c>
      <c r="G299" s="13">
        <v>14069607.15</v>
      </c>
    </row>
    <row r="300" spans="1:7">
      <c r="A300" s="3">
        <v>25</v>
      </c>
      <c r="B300" s="4" t="s">
        <v>25</v>
      </c>
      <c r="C300">
        <v>11</v>
      </c>
      <c r="D300" s="5" t="s">
        <v>64</v>
      </c>
      <c r="E300" s="13">
        <v>77188667.920000002</v>
      </c>
      <c r="F300" s="13">
        <v>15234872.380000001</v>
      </c>
      <c r="G300" s="13">
        <v>15062755.890000001</v>
      </c>
    </row>
    <row r="301" spans="1:7">
      <c r="A301" s="11">
        <v>25</v>
      </c>
      <c r="B301" s="11" t="s">
        <v>25</v>
      </c>
      <c r="C301">
        <v>12</v>
      </c>
      <c r="D301" s="5" t="s">
        <v>65</v>
      </c>
      <c r="E301" s="13">
        <v>73795759.439999998</v>
      </c>
      <c r="F301" s="13">
        <v>14565207.66</v>
      </c>
      <c r="G301" s="13">
        <v>14400656.73</v>
      </c>
    </row>
    <row r="302" spans="1:7">
      <c r="A302" s="3">
        <v>26</v>
      </c>
      <c r="B302" s="4" t="s">
        <v>26</v>
      </c>
      <c r="C302">
        <v>1</v>
      </c>
      <c r="D302" s="5" t="s">
        <v>54</v>
      </c>
      <c r="E302" s="13">
        <v>10522165.225</v>
      </c>
      <c r="F302" s="13">
        <v>2005542.28</v>
      </c>
      <c r="G302" s="13">
        <v>2345607.39</v>
      </c>
    </row>
    <row r="303" spans="1:7">
      <c r="A303" s="4">
        <v>26</v>
      </c>
      <c r="B303" s="4" t="s">
        <v>26</v>
      </c>
      <c r="C303">
        <v>2</v>
      </c>
      <c r="D303" s="5" t="s">
        <v>55</v>
      </c>
      <c r="E303" s="13">
        <v>11029257.525</v>
      </c>
      <c r="F303" s="13">
        <v>2102194.92</v>
      </c>
      <c r="G303" s="13">
        <v>2458648.71</v>
      </c>
    </row>
    <row r="304" spans="1:7">
      <c r="A304" s="3">
        <v>26</v>
      </c>
      <c r="B304" s="4" t="s">
        <v>26</v>
      </c>
      <c r="C304">
        <v>3</v>
      </c>
      <c r="D304" s="5" t="s">
        <v>56</v>
      </c>
      <c r="E304" s="13">
        <v>10268619.074999999</v>
      </c>
      <c r="F304" s="13">
        <v>1957215.96</v>
      </c>
      <c r="G304" s="13">
        <v>2289086.73</v>
      </c>
    </row>
    <row r="305" spans="1:7">
      <c r="A305" s="4">
        <v>26</v>
      </c>
      <c r="B305" s="4" t="s">
        <v>26</v>
      </c>
      <c r="C305">
        <v>4</v>
      </c>
      <c r="D305" s="5" t="s">
        <v>57</v>
      </c>
      <c r="E305" s="13">
        <v>10015072.925000001</v>
      </c>
      <c r="F305" s="13">
        <v>1908889.64</v>
      </c>
      <c r="G305" s="13">
        <v>2232566.0699999998</v>
      </c>
    </row>
    <row r="306" spans="1:7">
      <c r="A306" s="3">
        <v>26</v>
      </c>
      <c r="B306" s="4" t="s">
        <v>26</v>
      </c>
      <c r="C306">
        <v>5</v>
      </c>
      <c r="D306" s="5" t="s">
        <v>58</v>
      </c>
      <c r="E306" s="13">
        <v>10141846</v>
      </c>
      <c r="F306" s="13">
        <v>1933052.8</v>
      </c>
      <c r="G306" s="13">
        <v>2260826.4</v>
      </c>
    </row>
    <row r="307" spans="1:7">
      <c r="A307" s="4">
        <v>26</v>
      </c>
      <c r="B307" s="4" t="s">
        <v>26</v>
      </c>
      <c r="C307">
        <v>6</v>
      </c>
      <c r="D307" s="5" t="s">
        <v>59</v>
      </c>
      <c r="E307" s="13">
        <v>9888299.8499999996</v>
      </c>
      <c r="F307" s="13">
        <v>1884726.48</v>
      </c>
      <c r="G307" s="13">
        <v>2204305.7400000002</v>
      </c>
    </row>
    <row r="308" spans="1:7">
      <c r="A308" s="3">
        <v>26</v>
      </c>
      <c r="B308" s="4" t="s">
        <v>26</v>
      </c>
      <c r="C308">
        <v>7</v>
      </c>
      <c r="D308" s="5" t="s">
        <v>60</v>
      </c>
      <c r="E308" s="13">
        <v>11156030.6</v>
      </c>
      <c r="F308" s="13">
        <v>2126358.08</v>
      </c>
      <c r="G308" s="13">
        <v>2486909.04</v>
      </c>
    </row>
    <row r="309" spans="1:7">
      <c r="A309" s="4">
        <v>26</v>
      </c>
      <c r="B309" s="4" t="s">
        <v>26</v>
      </c>
      <c r="C309">
        <v>8</v>
      </c>
      <c r="D309" s="5" t="s">
        <v>61</v>
      </c>
      <c r="E309" s="13">
        <v>9888299.8499999996</v>
      </c>
      <c r="F309" s="13">
        <v>1884726.48</v>
      </c>
      <c r="G309" s="13">
        <v>2204305.7400000002</v>
      </c>
    </row>
    <row r="310" spans="1:7">
      <c r="A310" s="3">
        <v>26</v>
      </c>
      <c r="B310" s="4" t="s">
        <v>26</v>
      </c>
      <c r="C310">
        <v>9</v>
      </c>
      <c r="D310" s="5" t="s">
        <v>62</v>
      </c>
      <c r="E310" s="13">
        <v>10522165.225</v>
      </c>
      <c r="F310" s="13">
        <v>2005542.28</v>
      </c>
      <c r="G310" s="13">
        <v>2345607.39</v>
      </c>
    </row>
    <row r="311" spans="1:7">
      <c r="A311" s="4">
        <v>26</v>
      </c>
      <c r="B311" s="4" t="s">
        <v>26</v>
      </c>
      <c r="C311">
        <v>10</v>
      </c>
      <c r="D311" s="5" t="s">
        <v>63</v>
      </c>
      <c r="E311" s="13">
        <v>10775711.375</v>
      </c>
      <c r="F311" s="13">
        <v>2053868.6</v>
      </c>
      <c r="G311" s="13">
        <v>2402128.0499999998</v>
      </c>
    </row>
    <row r="312" spans="1:7">
      <c r="A312" s="3">
        <v>26</v>
      </c>
      <c r="B312" s="4" t="s">
        <v>26</v>
      </c>
      <c r="C312">
        <v>11</v>
      </c>
      <c r="D312" s="5" t="s">
        <v>64</v>
      </c>
      <c r="E312" s="13">
        <v>11536349.824999999</v>
      </c>
      <c r="F312" s="13">
        <v>2198847.56</v>
      </c>
      <c r="G312" s="13">
        <v>2571690.0299999998</v>
      </c>
    </row>
    <row r="313" spans="1:7">
      <c r="A313" s="11">
        <v>26</v>
      </c>
      <c r="B313" s="11" t="s">
        <v>26</v>
      </c>
      <c r="C313">
        <v>12</v>
      </c>
      <c r="D313" s="5" t="s">
        <v>65</v>
      </c>
      <c r="E313" s="13">
        <v>11029257.525</v>
      </c>
      <c r="F313" s="13">
        <v>2102194.92</v>
      </c>
      <c r="G313" s="13">
        <v>2458648.71</v>
      </c>
    </row>
    <row r="314" spans="1:7">
      <c r="A314" s="3">
        <v>27</v>
      </c>
      <c r="B314" s="4" t="s">
        <v>27</v>
      </c>
      <c r="C314">
        <v>1</v>
      </c>
      <c r="D314" s="5" t="s">
        <v>54</v>
      </c>
      <c r="E314" s="13">
        <v>17026776.454999998</v>
      </c>
      <c r="F314" s="13">
        <v>4297590.5999999996</v>
      </c>
      <c r="G314" s="13">
        <v>7371908.9400000004</v>
      </c>
    </row>
    <row r="315" spans="1:7">
      <c r="A315" s="4">
        <v>27</v>
      </c>
      <c r="B315" s="4" t="s">
        <v>27</v>
      </c>
      <c r="C315">
        <v>2</v>
      </c>
      <c r="D315" s="5" t="s">
        <v>55</v>
      </c>
      <c r="E315" s="13">
        <v>17847343.995000001</v>
      </c>
      <c r="F315" s="13">
        <v>4504703.4000000004</v>
      </c>
      <c r="G315" s="13">
        <v>7727181.6600000001</v>
      </c>
    </row>
    <row r="316" spans="1:7">
      <c r="A316" s="3">
        <v>27</v>
      </c>
      <c r="B316" s="4" t="s">
        <v>27</v>
      </c>
      <c r="C316">
        <v>3</v>
      </c>
      <c r="D316" s="5" t="s">
        <v>56</v>
      </c>
      <c r="E316" s="13">
        <v>16616492.685000001</v>
      </c>
      <c r="F316" s="13">
        <v>4194034.2</v>
      </c>
      <c r="G316" s="13">
        <v>7194272.5800000001</v>
      </c>
    </row>
    <row r="317" spans="1:7">
      <c r="A317" s="4">
        <v>27</v>
      </c>
      <c r="B317" s="4" t="s">
        <v>27</v>
      </c>
      <c r="C317">
        <v>4</v>
      </c>
      <c r="D317" s="5" t="s">
        <v>57</v>
      </c>
      <c r="E317" s="13">
        <v>16206208.914999999</v>
      </c>
      <c r="F317" s="13">
        <v>4090477.8</v>
      </c>
      <c r="G317" s="13">
        <v>7016636.2199999997</v>
      </c>
    </row>
    <row r="318" spans="1:7">
      <c r="A318" s="3">
        <v>27</v>
      </c>
      <c r="B318" s="4" t="s">
        <v>27</v>
      </c>
      <c r="C318">
        <v>5</v>
      </c>
      <c r="D318" s="5" t="s">
        <v>58</v>
      </c>
      <c r="E318" s="13">
        <v>16411350.800000001</v>
      </c>
      <c r="F318" s="13">
        <v>4142256</v>
      </c>
      <c r="G318" s="13">
        <v>7105454.4000000004</v>
      </c>
    </row>
    <row r="319" spans="1:7">
      <c r="A319" s="4">
        <v>27</v>
      </c>
      <c r="B319" s="4" t="s">
        <v>27</v>
      </c>
      <c r="C319">
        <v>6</v>
      </c>
      <c r="D319" s="5" t="s">
        <v>59</v>
      </c>
      <c r="E319" s="13">
        <v>16001067.029999999</v>
      </c>
      <c r="F319" s="13">
        <v>4038699.6</v>
      </c>
      <c r="G319" s="13">
        <v>6927818.04</v>
      </c>
    </row>
    <row r="320" spans="1:7">
      <c r="A320" s="3">
        <v>27</v>
      </c>
      <c r="B320" s="4" t="s">
        <v>27</v>
      </c>
      <c r="C320">
        <v>7</v>
      </c>
      <c r="D320" s="5" t="s">
        <v>60</v>
      </c>
      <c r="E320" s="13">
        <v>18052485.879999999</v>
      </c>
      <c r="F320" s="13">
        <v>4556481.5999999996</v>
      </c>
      <c r="G320" s="13">
        <v>7815999.8399999999</v>
      </c>
    </row>
    <row r="321" spans="1:7">
      <c r="A321" s="4">
        <v>27</v>
      </c>
      <c r="B321" s="4" t="s">
        <v>27</v>
      </c>
      <c r="C321">
        <v>8</v>
      </c>
      <c r="D321" s="5" t="s">
        <v>61</v>
      </c>
      <c r="E321" s="13">
        <v>16001067.029999999</v>
      </c>
      <c r="F321" s="13">
        <v>4038699.6</v>
      </c>
      <c r="G321" s="13">
        <v>6927818.04</v>
      </c>
    </row>
    <row r="322" spans="1:7">
      <c r="A322" s="3">
        <v>27</v>
      </c>
      <c r="B322" s="4" t="s">
        <v>27</v>
      </c>
      <c r="C322">
        <v>9</v>
      </c>
      <c r="D322" s="5" t="s">
        <v>62</v>
      </c>
      <c r="E322" s="13">
        <v>17026776.454999998</v>
      </c>
      <c r="F322" s="13">
        <v>4297590.5999999996</v>
      </c>
      <c r="G322" s="13">
        <v>7371908.9400000004</v>
      </c>
    </row>
    <row r="323" spans="1:7">
      <c r="A323" s="4">
        <v>27</v>
      </c>
      <c r="B323" s="4" t="s">
        <v>27</v>
      </c>
      <c r="C323">
        <v>10</v>
      </c>
      <c r="D323" s="5" t="s">
        <v>63</v>
      </c>
      <c r="E323" s="13">
        <v>17437060.225000001</v>
      </c>
      <c r="F323" s="13">
        <v>4401147</v>
      </c>
      <c r="G323" s="13">
        <v>7549545.2999999998</v>
      </c>
    </row>
    <row r="324" spans="1:7">
      <c r="A324" s="3">
        <v>27</v>
      </c>
      <c r="B324" s="4" t="s">
        <v>27</v>
      </c>
      <c r="C324">
        <v>11</v>
      </c>
      <c r="D324" s="5" t="s">
        <v>64</v>
      </c>
      <c r="E324" s="13">
        <v>18667911.535</v>
      </c>
      <c r="F324" s="13">
        <v>4711816.2</v>
      </c>
      <c r="G324" s="13">
        <v>8082454.3799999999</v>
      </c>
    </row>
    <row r="325" spans="1:7">
      <c r="A325" s="11">
        <v>27</v>
      </c>
      <c r="B325" s="11" t="s">
        <v>27</v>
      </c>
      <c r="C325">
        <v>12</v>
      </c>
      <c r="D325" s="5" t="s">
        <v>65</v>
      </c>
      <c r="E325" s="13">
        <v>17847343.995000001</v>
      </c>
      <c r="F325" s="13">
        <v>4504703.4000000004</v>
      </c>
      <c r="G325" s="13">
        <v>7727181.6600000001</v>
      </c>
    </row>
    <row r="326" spans="1:7">
      <c r="A326" s="3">
        <v>28</v>
      </c>
      <c r="B326" s="4" t="s">
        <v>28</v>
      </c>
      <c r="C326">
        <v>1</v>
      </c>
      <c r="D326" s="5" t="s">
        <v>54</v>
      </c>
      <c r="E326" s="13">
        <v>29653374.725000001</v>
      </c>
      <c r="F326" s="13">
        <v>6159879.8600000003</v>
      </c>
      <c r="G326" s="13">
        <v>7595300.1200000001</v>
      </c>
    </row>
    <row r="327" spans="1:7">
      <c r="A327" s="4">
        <v>28</v>
      </c>
      <c r="B327" s="4" t="s">
        <v>28</v>
      </c>
      <c r="C327">
        <v>2</v>
      </c>
      <c r="D327" s="5" t="s">
        <v>55</v>
      </c>
      <c r="E327" s="13">
        <v>31082453.024999999</v>
      </c>
      <c r="F327" s="13">
        <v>6456741.54</v>
      </c>
      <c r="G327" s="13">
        <v>7961338.6799999997</v>
      </c>
    </row>
    <row r="328" spans="1:7">
      <c r="A328" s="3">
        <v>28</v>
      </c>
      <c r="B328" s="4" t="s">
        <v>28</v>
      </c>
      <c r="C328">
        <v>3</v>
      </c>
      <c r="D328" s="5" t="s">
        <v>56</v>
      </c>
      <c r="E328" s="13">
        <v>28938835.574999999</v>
      </c>
      <c r="F328" s="13">
        <v>6011449.0199999996</v>
      </c>
      <c r="G328" s="13">
        <v>7412280.8399999999</v>
      </c>
    </row>
    <row r="329" spans="1:7">
      <c r="A329" s="4">
        <v>28</v>
      </c>
      <c r="B329" s="4" t="s">
        <v>28</v>
      </c>
      <c r="C329">
        <v>4</v>
      </c>
      <c r="D329" s="5" t="s">
        <v>57</v>
      </c>
      <c r="E329" s="13">
        <v>28224296.425000001</v>
      </c>
      <c r="F329" s="13">
        <v>5863018.1799999997</v>
      </c>
      <c r="G329" s="13">
        <v>7229261.5599999996</v>
      </c>
    </row>
    <row r="330" spans="1:7">
      <c r="A330" s="3">
        <v>28</v>
      </c>
      <c r="B330" s="4" t="s">
        <v>28</v>
      </c>
      <c r="C330">
        <v>5</v>
      </c>
      <c r="D330" s="5" t="s">
        <v>58</v>
      </c>
      <c r="E330" s="13">
        <v>28581566</v>
      </c>
      <c r="F330" s="13">
        <v>5937233.5999999996</v>
      </c>
      <c r="G330" s="13">
        <v>7320771.2000000002</v>
      </c>
    </row>
    <row r="331" spans="1:7">
      <c r="A331" s="4">
        <v>28</v>
      </c>
      <c r="B331" s="4" t="s">
        <v>28</v>
      </c>
      <c r="C331">
        <v>6</v>
      </c>
      <c r="D331" s="5" t="s">
        <v>59</v>
      </c>
      <c r="E331" s="13">
        <v>27867026.850000001</v>
      </c>
      <c r="F331" s="13">
        <v>5788802.7599999998</v>
      </c>
      <c r="G331" s="13">
        <v>7137751.9199999999</v>
      </c>
    </row>
    <row r="332" spans="1:7">
      <c r="A332" s="3">
        <v>28</v>
      </c>
      <c r="B332" s="4" t="s">
        <v>28</v>
      </c>
      <c r="C332">
        <v>7</v>
      </c>
      <c r="D332" s="5" t="s">
        <v>60</v>
      </c>
      <c r="E332" s="13">
        <v>31439722.600000001</v>
      </c>
      <c r="F332" s="13">
        <v>6530956.96</v>
      </c>
      <c r="G332" s="13">
        <v>8052848.3200000003</v>
      </c>
    </row>
    <row r="333" spans="1:7">
      <c r="A333" s="4">
        <v>28</v>
      </c>
      <c r="B333" s="4" t="s">
        <v>28</v>
      </c>
      <c r="C333">
        <v>8</v>
      </c>
      <c r="D333" s="5" t="s">
        <v>61</v>
      </c>
      <c r="E333" s="13">
        <v>27867026.850000001</v>
      </c>
      <c r="F333" s="13">
        <v>5788802.7599999998</v>
      </c>
      <c r="G333" s="13">
        <v>7137751.9199999999</v>
      </c>
    </row>
    <row r="334" spans="1:7">
      <c r="A334" s="3">
        <v>28</v>
      </c>
      <c r="B334" s="4" t="s">
        <v>28</v>
      </c>
      <c r="C334">
        <v>9</v>
      </c>
      <c r="D334" s="5" t="s">
        <v>62</v>
      </c>
      <c r="E334" s="13">
        <v>29653374.725000001</v>
      </c>
      <c r="F334" s="13">
        <v>6159879.8600000003</v>
      </c>
      <c r="G334" s="13">
        <v>7595300.1200000001</v>
      </c>
    </row>
    <row r="335" spans="1:7">
      <c r="A335" s="4">
        <v>28</v>
      </c>
      <c r="B335" s="4" t="s">
        <v>28</v>
      </c>
      <c r="C335">
        <v>10</v>
      </c>
      <c r="D335" s="5" t="s">
        <v>63</v>
      </c>
      <c r="E335" s="13">
        <v>30367913.875</v>
      </c>
      <c r="F335" s="13">
        <v>6308310.7000000002</v>
      </c>
      <c r="G335" s="13">
        <v>7778319.4000000004</v>
      </c>
    </row>
    <row r="336" spans="1:7">
      <c r="A336" s="3">
        <v>28</v>
      </c>
      <c r="B336" s="4" t="s">
        <v>28</v>
      </c>
      <c r="C336">
        <v>11</v>
      </c>
      <c r="D336" s="5" t="s">
        <v>64</v>
      </c>
      <c r="E336" s="13">
        <v>32511531.324999999</v>
      </c>
      <c r="F336" s="13">
        <v>6753603.2199999997</v>
      </c>
      <c r="G336" s="13">
        <v>8327377.2400000002</v>
      </c>
    </row>
    <row r="337" spans="1:7">
      <c r="A337" s="11">
        <v>28</v>
      </c>
      <c r="B337" s="11" t="s">
        <v>28</v>
      </c>
      <c r="C337">
        <v>12</v>
      </c>
      <c r="D337" s="5" t="s">
        <v>65</v>
      </c>
      <c r="E337" s="13">
        <v>31082453.024999999</v>
      </c>
      <c r="F337" s="13">
        <v>6456741.54</v>
      </c>
      <c r="G337" s="13">
        <v>7961338.6799999997</v>
      </c>
    </row>
    <row r="338" spans="1:7">
      <c r="A338" s="3">
        <v>29</v>
      </c>
      <c r="B338" s="4" t="s">
        <v>29</v>
      </c>
      <c r="C338">
        <v>1</v>
      </c>
      <c r="D338" s="5" t="s">
        <v>54</v>
      </c>
      <c r="E338" s="13">
        <v>13200534.555</v>
      </c>
      <c r="F338" s="13">
        <v>3294819.46</v>
      </c>
      <c r="G338" s="13">
        <v>3350867.7</v>
      </c>
    </row>
    <row r="339" spans="1:7">
      <c r="A339" s="4">
        <v>29</v>
      </c>
      <c r="B339" s="4" t="s">
        <v>29</v>
      </c>
      <c r="C339">
        <v>2</v>
      </c>
      <c r="D339" s="5" t="s">
        <v>55</v>
      </c>
      <c r="E339" s="13">
        <v>13836704.895</v>
      </c>
      <c r="F339" s="13">
        <v>3453605.94</v>
      </c>
      <c r="G339" s="13">
        <v>3512355.3</v>
      </c>
    </row>
    <row r="340" spans="1:7">
      <c r="A340" s="3">
        <v>29</v>
      </c>
      <c r="B340" s="4" t="s">
        <v>29</v>
      </c>
      <c r="C340">
        <v>3</v>
      </c>
      <c r="D340" s="5" t="s">
        <v>56</v>
      </c>
      <c r="E340" s="13">
        <v>12882449.385</v>
      </c>
      <c r="F340" s="13">
        <v>3215426.22</v>
      </c>
      <c r="G340" s="13">
        <v>3270123.9</v>
      </c>
    </row>
    <row r="341" spans="1:7">
      <c r="A341" s="4">
        <v>29</v>
      </c>
      <c r="B341" s="4" t="s">
        <v>29</v>
      </c>
      <c r="C341">
        <v>4</v>
      </c>
      <c r="D341" s="5" t="s">
        <v>57</v>
      </c>
      <c r="E341" s="13">
        <v>12564364.215</v>
      </c>
      <c r="F341" s="13">
        <v>3136032.98</v>
      </c>
      <c r="G341" s="13">
        <v>3189380.1</v>
      </c>
    </row>
    <row r="342" spans="1:7">
      <c r="A342" s="3">
        <v>29</v>
      </c>
      <c r="B342" s="4" t="s">
        <v>29</v>
      </c>
      <c r="C342">
        <v>5</v>
      </c>
      <c r="D342" s="5" t="s">
        <v>58</v>
      </c>
      <c r="E342" s="13">
        <v>12723406.800000001</v>
      </c>
      <c r="F342" s="13">
        <v>3175729.6</v>
      </c>
      <c r="G342" s="13">
        <v>3229752</v>
      </c>
    </row>
    <row r="343" spans="1:7">
      <c r="A343" s="4">
        <v>29</v>
      </c>
      <c r="B343" s="4" t="s">
        <v>29</v>
      </c>
      <c r="C343">
        <v>6</v>
      </c>
      <c r="D343" s="5" t="s">
        <v>59</v>
      </c>
      <c r="E343" s="13">
        <v>12405321.630000001</v>
      </c>
      <c r="F343" s="13">
        <v>3096336.36</v>
      </c>
      <c r="G343" s="13">
        <v>3149008.2</v>
      </c>
    </row>
    <row r="344" spans="1:7">
      <c r="A344" s="3">
        <v>29</v>
      </c>
      <c r="B344" s="4" t="s">
        <v>29</v>
      </c>
      <c r="C344">
        <v>7</v>
      </c>
      <c r="D344" s="5" t="s">
        <v>60</v>
      </c>
      <c r="E344" s="13">
        <v>13995747.48</v>
      </c>
      <c r="F344" s="13">
        <v>3493302.56</v>
      </c>
      <c r="G344" s="13">
        <v>3552727.2</v>
      </c>
    </row>
    <row r="345" spans="1:7">
      <c r="A345" s="4">
        <v>29</v>
      </c>
      <c r="B345" s="4" t="s">
        <v>29</v>
      </c>
      <c r="C345">
        <v>8</v>
      </c>
      <c r="D345" s="5" t="s">
        <v>61</v>
      </c>
      <c r="E345" s="13">
        <v>12405321.630000001</v>
      </c>
      <c r="F345" s="13">
        <v>3096336.36</v>
      </c>
      <c r="G345" s="13">
        <v>3149008.2</v>
      </c>
    </row>
    <row r="346" spans="1:7">
      <c r="A346" s="3">
        <v>29</v>
      </c>
      <c r="B346" s="4" t="s">
        <v>29</v>
      </c>
      <c r="C346">
        <v>9</v>
      </c>
      <c r="D346" s="5" t="s">
        <v>62</v>
      </c>
      <c r="E346" s="13">
        <v>13200534.555</v>
      </c>
      <c r="F346" s="13">
        <v>3294819.46</v>
      </c>
      <c r="G346" s="13">
        <v>3350867.7</v>
      </c>
    </row>
    <row r="347" spans="1:7">
      <c r="A347" s="4">
        <v>29</v>
      </c>
      <c r="B347" s="4" t="s">
        <v>29</v>
      </c>
      <c r="C347">
        <v>10</v>
      </c>
      <c r="D347" s="5" t="s">
        <v>63</v>
      </c>
      <c r="E347" s="13">
        <v>13518619.725</v>
      </c>
      <c r="F347" s="13">
        <v>3374212.7</v>
      </c>
      <c r="G347" s="13">
        <v>3431611.5</v>
      </c>
    </row>
    <row r="348" spans="1:7">
      <c r="A348" s="3">
        <v>29</v>
      </c>
      <c r="B348" s="4" t="s">
        <v>29</v>
      </c>
      <c r="C348">
        <v>11</v>
      </c>
      <c r="D348" s="5" t="s">
        <v>64</v>
      </c>
      <c r="E348" s="13">
        <v>14472875.234999999</v>
      </c>
      <c r="F348" s="13">
        <v>3612392.42</v>
      </c>
      <c r="G348" s="13">
        <v>3673842.9</v>
      </c>
    </row>
    <row r="349" spans="1:7">
      <c r="A349" s="11">
        <v>29</v>
      </c>
      <c r="B349" s="11" t="s">
        <v>29</v>
      </c>
      <c r="C349">
        <v>12</v>
      </c>
      <c r="D349" s="5" t="s">
        <v>65</v>
      </c>
      <c r="E349" s="13">
        <v>13836704.895</v>
      </c>
      <c r="F349" s="13">
        <v>3453605.94</v>
      </c>
      <c r="G349" s="13">
        <v>3512355.3</v>
      </c>
    </row>
    <row r="350" spans="1:7">
      <c r="A350" s="3">
        <v>30</v>
      </c>
      <c r="B350" s="4" t="s">
        <v>30</v>
      </c>
      <c r="C350">
        <v>1</v>
      </c>
      <c r="D350" s="5" t="s">
        <v>54</v>
      </c>
      <c r="E350" s="13">
        <v>59498061.545000002</v>
      </c>
      <c r="F350" s="13">
        <v>19912169.780000001</v>
      </c>
      <c r="G350" s="13">
        <v>21445553.280000001</v>
      </c>
    </row>
    <row r="351" spans="1:7">
      <c r="A351" s="4">
        <v>30</v>
      </c>
      <c r="B351" s="4" t="s">
        <v>30</v>
      </c>
      <c r="C351">
        <v>2</v>
      </c>
      <c r="D351" s="5" t="s">
        <v>55</v>
      </c>
      <c r="E351" s="13">
        <v>62365438.005000003</v>
      </c>
      <c r="F351" s="13">
        <v>20871792.420000002</v>
      </c>
      <c r="G351" s="13">
        <v>22479073.920000002</v>
      </c>
    </row>
    <row r="352" spans="1:7">
      <c r="A352" s="3">
        <v>30</v>
      </c>
      <c r="B352" s="4" t="s">
        <v>30</v>
      </c>
      <c r="C352">
        <v>3</v>
      </c>
      <c r="D352" s="5" t="s">
        <v>56</v>
      </c>
      <c r="E352" s="13">
        <v>58064373.314999998</v>
      </c>
      <c r="F352" s="13">
        <v>19432358.460000001</v>
      </c>
      <c r="G352" s="13">
        <v>20928792.960000001</v>
      </c>
    </row>
    <row r="353" spans="1:7">
      <c r="A353" s="4">
        <v>30</v>
      </c>
      <c r="B353" s="4" t="s">
        <v>30</v>
      </c>
      <c r="C353">
        <v>4</v>
      </c>
      <c r="D353" s="5" t="s">
        <v>57</v>
      </c>
      <c r="E353" s="13">
        <v>56630685.085000001</v>
      </c>
      <c r="F353" s="13">
        <v>18952547.140000001</v>
      </c>
      <c r="G353" s="13">
        <v>20412032.640000001</v>
      </c>
    </row>
    <row r="354" spans="1:7">
      <c r="A354" s="3">
        <v>30</v>
      </c>
      <c r="B354" s="4" t="s">
        <v>30</v>
      </c>
      <c r="C354">
        <v>5</v>
      </c>
      <c r="D354" s="5" t="s">
        <v>58</v>
      </c>
      <c r="E354" s="13">
        <v>57347529.200000003</v>
      </c>
      <c r="F354" s="13">
        <v>19192452.800000001</v>
      </c>
      <c r="G354" s="13">
        <v>20670412.800000001</v>
      </c>
    </row>
    <row r="355" spans="1:7">
      <c r="A355" s="4">
        <v>30</v>
      </c>
      <c r="B355" s="4" t="s">
        <v>30</v>
      </c>
      <c r="C355">
        <v>6</v>
      </c>
      <c r="D355" s="5" t="s">
        <v>59</v>
      </c>
      <c r="E355" s="13">
        <v>55913840.969999999</v>
      </c>
      <c r="F355" s="13">
        <v>18712641.48</v>
      </c>
      <c r="G355" s="13">
        <v>20153652.48</v>
      </c>
    </row>
    <row r="356" spans="1:7">
      <c r="A356" s="3">
        <v>30</v>
      </c>
      <c r="B356" s="4" t="s">
        <v>30</v>
      </c>
      <c r="C356">
        <v>7</v>
      </c>
      <c r="D356" s="5" t="s">
        <v>60</v>
      </c>
      <c r="E356" s="13">
        <v>63082282.119999997</v>
      </c>
      <c r="F356" s="13">
        <v>21111698.079999998</v>
      </c>
      <c r="G356" s="13">
        <v>22737454.079999998</v>
      </c>
    </row>
    <row r="357" spans="1:7">
      <c r="A357" s="4">
        <v>30</v>
      </c>
      <c r="B357" s="4" t="s">
        <v>30</v>
      </c>
      <c r="C357">
        <v>8</v>
      </c>
      <c r="D357" s="5" t="s">
        <v>61</v>
      </c>
      <c r="E357" s="13">
        <v>55913840.969999999</v>
      </c>
      <c r="F357" s="13">
        <v>18712641.48</v>
      </c>
      <c r="G357" s="13">
        <v>20153652.48</v>
      </c>
    </row>
    <row r="358" spans="1:7">
      <c r="A358" s="3">
        <v>30</v>
      </c>
      <c r="B358" s="4" t="s">
        <v>30</v>
      </c>
      <c r="C358">
        <v>9</v>
      </c>
      <c r="D358" s="5" t="s">
        <v>62</v>
      </c>
      <c r="E358" s="13">
        <v>59498061.545000002</v>
      </c>
      <c r="F358" s="13">
        <v>19912169.780000001</v>
      </c>
      <c r="G358" s="13">
        <v>21445553.280000001</v>
      </c>
    </row>
    <row r="359" spans="1:7">
      <c r="A359" s="4">
        <v>30</v>
      </c>
      <c r="B359" s="4" t="s">
        <v>30</v>
      </c>
      <c r="C359">
        <v>10</v>
      </c>
      <c r="D359" s="5" t="s">
        <v>63</v>
      </c>
      <c r="E359" s="13">
        <v>60931749.774999999</v>
      </c>
      <c r="F359" s="13">
        <v>20391981.100000001</v>
      </c>
      <c r="G359" s="13">
        <v>21962313.600000001</v>
      </c>
    </row>
    <row r="360" spans="1:7">
      <c r="A360" s="3">
        <v>30</v>
      </c>
      <c r="B360" s="4" t="s">
        <v>30</v>
      </c>
      <c r="C360">
        <v>11</v>
      </c>
      <c r="D360" s="5" t="s">
        <v>64</v>
      </c>
      <c r="E360" s="13">
        <v>65232814.465000004</v>
      </c>
      <c r="F360" s="13">
        <v>21831415.059999999</v>
      </c>
      <c r="G360" s="13">
        <v>23512594.559999999</v>
      </c>
    </row>
    <row r="361" spans="1:7">
      <c r="A361" s="11">
        <v>30</v>
      </c>
      <c r="B361" s="11" t="s">
        <v>30</v>
      </c>
      <c r="C361">
        <v>12</v>
      </c>
      <c r="D361" s="5" t="s">
        <v>65</v>
      </c>
      <c r="E361" s="13">
        <v>62365438.005000003</v>
      </c>
      <c r="F361" s="13">
        <v>20871792.420000002</v>
      </c>
      <c r="G361" s="13">
        <v>22479073.920000002</v>
      </c>
    </row>
    <row r="362" spans="1:7">
      <c r="A362" s="3">
        <v>31</v>
      </c>
      <c r="B362" s="4" t="s">
        <v>31</v>
      </c>
      <c r="C362">
        <v>1</v>
      </c>
      <c r="D362" s="5" t="s">
        <v>54</v>
      </c>
      <c r="E362" s="13">
        <v>19131209.5</v>
      </c>
      <c r="F362" s="13">
        <v>5730120.7999999998</v>
      </c>
      <c r="G362" s="13">
        <v>5696475.0899999999</v>
      </c>
    </row>
    <row r="363" spans="1:7">
      <c r="A363" s="4">
        <v>31</v>
      </c>
      <c r="B363" s="4" t="s">
        <v>31</v>
      </c>
      <c r="C363">
        <v>2</v>
      </c>
      <c r="D363" s="5" t="s">
        <v>55</v>
      </c>
      <c r="E363" s="13">
        <v>20053195.5</v>
      </c>
      <c r="F363" s="13">
        <v>6006271.2000000002</v>
      </c>
      <c r="G363" s="13">
        <v>5971004.0099999998</v>
      </c>
    </row>
    <row r="364" spans="1:7">
      <c r="A364" s="3">
        <v>31</v>
      </c>
      <c r="B364" s="4" t="s">
        <v>31</v>
      </c>
      <c r="C364">
        <v>3</v>
      </c>
      <c r="D364" s="5" t="s">
        <v>56</v>
      </c>
      <c r="E364" s="13">
        <v>18670216.5</v>
      </c>
      <c r="F364" s="13">
        <v>5592045.5999999996</v>
      </c>
      <c r="G364" s="13">
        <v>5559210.6299999999</v>
      </c>
    </row>
    <row r="365" spans="1:7">
      <c r="A365" s="4">
        <v>31</v>
      </c>
      <c r="B365" s="4" t="s">
        <v>31</v>
      </c>
      <c r="C365">
        <v>4</v>
      </c>
      <c r="D365" s="5" t="s">
        <v>57</v>
      </c>
      <c r="E365" s="13">
        <v>18209223.5</v>
      </c>
      <c r="F365" s="13">
        <v>5453970.4000000004</v>
      </c>
      <c r="G365" s="13">
        <v>5421946.1699999999</v>
      </c>
    </row>
    <row r="366" spans="1:7">
      <c r="A366" s="3">
        <v>31</v>
      </c>
      <c r="B366" s="4" t="s">
        <v>31</v>
      </c>
      <c r="C366">
        <v>5</v>
      </c>
      <c r="D366" s="5" t="s">
        <v>58</v>
      </c>
      <c r="E366" s="13">
        <v>18439720</v>
      </c>
      <c r="F366" s="13">
        <v>5523008</v>
      </c>
      <c r="G366" s="13">
        <v>5490578.4000000004</v>
      </c>
    </row>
    <row r="367" spans="1:7">
      <c r="A367" s="4">
        <v>31</v>
      </c>
      <c r="B367" s="4" t="s">
        <v>31</v>
      </c>
      <c r="C367">
        <v>6</v>
      </c>
      <c r="D367" s="5" t="s">
        <v>59</v>
      </c>
      <c r="E367" s="13">
        <v>17978727</v>
      </c>
      <c r="F367" s="13">
        <v>5384932.7999999998</v>
      </c>
      <c r="G367" s="13">
        <v>5353313.9400000004</v>
      </c>
    </row>
    <row r="368" spans="1:7">
      <c r="A368" s="3">
        <v>31</v>
      </c>
      <c r="B368" s="4" t="s">
        <v>31</v>
      </c>
      <c r="C368">
        <v>7</v>
      </c>
      <c r="D368" s="5" t="s">
        <v>60</v>
      </c>
      <c r="E368" s="13">
        <v>20283692</v>
      </c>
      <c r="F368" s="13">
        <v>6075308.7999999998</v>
      </c>
      <c r="G368" s="13">
        <v>6039636.2400000002</v>
      </c>
    </row>
    <row r="369" spans="1:7">
      <c r="A369" s="4">
        <v>31</v>
      </c>
      <c r="B369" s="4" t="s">
        <v>31</v>
      </c>
      <c r="C369">
        <v>8</v>
      </c>
      <c r="D369" s="5" t="s">
        <v>61</v>
      </c>
      <c r="E369" s="13">
        <v>17978727</v>
      </c>
      <c r="F369" s="13">
        <v>5384932.7999999998</v>
      </c>
      <c r="G369" s="13">
        <v>5353313.9400000004</v>
      </c>
    </row>
    <row r="370" spans="1:7">
      <c r="A370" s="3">
        <v>31</v>
      </c>
      <c r="B370" s="4" t="s">
        <v>31</v>
      </c>
      <c r="C370">
        <v>9</v>
      </c>
      <c r="D370" s="5" t="s">
        <v>62</v>
      </c>
      <c r="E370" s="13">
        <v>19131209.5</v>
      </c>
      <c r="F370" s="13">
        <v>5730120.7999999998</v>
      </c>
      <c r="G370" s="13">
        <v>5696475.0899999999</v>
      </c>
    </row>
    <row r="371" spans="1:7">
      <c r="A371" s="4">
        <v>31</v>
      </c>
      <c r="B371" s="4" t="s">
        <v>31</v>
      </c>
      <c r="C371">
        <v>10</v>
      </c>
      <c r="D371" s="5" t="s">
        <v>63</v>
      </c>
      <c r="E371" s="13">
        <v>19592202.5</v>
      </c>
      <c r="F371" s="13">
        <v>5868196</v>
      </c>
      <c r="G371" s="13">
        <v>5833739.5499999998</v>
      </c>
    </row>
    <row r="372" spans="1:7">
      <c r="A372" s="3">
        <v>31</v>
      </c>
      <c r="B372" s="4" t="s">
        <v>31</v>
      </c>
      <c r="C372">
        <v>11</v>
      </c>
      <c r="D372" s="5" t="s">
        <v>64</v>
      </c>
      <c r="E372" s="13">
        <v>20975181.5</v>
      </c>
      <c r="F372" s="13">
        <v>6282421.5999999996</v>
      </c>
      <c r="G372" s="13">
        <v>6245532.9299999997</v>
      </c>
    </row>
    <row r="373" spans="1:7">
      <c r="A373" s="11">
        <v>31</v>
      </c>
      <c r="B373" s="11" t="s">
        <v>31</v>
      </c>
      <c r="C373">
        <v>12</v>
      </c>
      <c r="D373" s="5" t="s">
        <v>65</v>
      </c>
      <c r="E373" s="13">
        <v>20053195.5</v>
      </c>
      <c r="F373" s="13">
        <v>6006271.2000000002</v>
      </c>
      <c r="G373" s="13">
        <v>5971004.0099999998</v>
      </c>
    </row>
    <row r="374" spans="1:7">
      <c r="A374" s="3">
        <v>32</v>
      </c>
      <c r="B374" s="4" t="s">
        <v>32</v>
      </c>
      <c r="C374">
        <v>1</v>
      </c>
      <c r="D374" s="5" t="s">
        <v>54</v>
      </c>
      <c r="E374" s="13">
        <v>146736376.86500001</v>
      </c>
      <c r="F374" s="13">
        <v>30512893.260000002</v>
      </c>
      <c r="G374" s="13">
        <v>37529718.240000002</v>
      </c>
    </row>
    <row r="375" spans="1:7">
      <c r="A375" s="4">
        <v>32</v>
      </c>
      <c r="B375" s="4" t="s">
        <v>32</v>
      </c>
      <c r="C375">
        <v>2</v>
      </c>
      <c r="D375" s="5" t="s">
        <v>55</v>
      </c>
      <c r="E375" s="13">
        <v>153808009.48500001</v>
      </c>
      <c r="F375" s="13">
        <v>31983394.140000001</v>
      </c>
      <c r="G375" s="13">
        <v>39338379.359999999</v>
      </c>
    </row>
    <row r="376" spans="1:7">
      <c r="A376" s="3">
        <v>32</v>
      </c>
      <c r="B376" s="4" t="s">
        <v>32</v>
      </c>
      <c r="C376">
        <v>3</v>
      </c>
      <c r="D376" s="5" t="s">
        <v>56</v>
      </c>
      <c r="E376" s="13">
        <v>143200560.55500001</v>
      </c>
      <c r="F376" s="13">
        <v>29777642.82</v>
      </c>
      <c r="G376" s="13">
        <v>36625387.68</v>
      </c>
    </row>
    <row r="377" spans="1:7">
      <c r="A377" s="4">
        <v>32</v>
      </c>
      <c r="B377" s="4" t="s">
        <v>32</v>
      </c>
      <c r="C377">
        <v>4</v>
      </c>
      <c r="D377" s="5" t="s">
        <v>57</v>
      </c>
      <c r="E377" s="13">
        <v>139664744.245</v>
      </c>
      <c r="F377" s="13">
        <v>29042392.379999999</v>
      </c>
      <c r="G377" s="13">
        <v>35721057.119999997</v>
      </c>
    </row>
    <row r="378" spans="1:7">
      <c r="A378" s="3">
        <v>32</v>
      </c>
      <c r="B378" s="4" t="s">
        <v>32</v>
      </c>
      <c r="C378">
        <v>5</v>
      </c>
      <c r="D378" s="5" t="s">
        <v>58</v>
      </c>
      <c r="E378" s="13">
        <v>141432652.40000001</v>
      </c>
      <c r="F378" s="13">
        <v>29410017.600000001</v>
      </c>
      <c r="G378" s="13">
        <v>36173222.399999999</v>
      </c>
    </row>
    <row r="379" spans="1:7">
      <c r="A379" s="4">
        <v>32</v>
      </c>
      <c r="B379" s="4" t="s">
        <v>32</v>
      </c>
      <c r="C379">
        <v>6</v>
      </c>
      <c r="D379" s="5" t="s">
        <v>59</v>
      </c>
      <c r="E379" s="13">
        <v>137896836.09</v>
      </c>
      <c r="F379" s="13">
        <v>28674767.16</v>
      </c>
      <c r="G379" s="13">
        <v>35268891.840000004</v>
      </c>
    </row>
    <row r="380" spans="1:7">
      <c r="A380" s="3">
        <v>32</v>
      </c>
      <c r="B380" s="4" t="s">
        <v>32</v>
      </c>
      <c r="C380">
        <v>7</v>
      </c>
      <c r="D380" s="5" t="s">
        <v>60</v>
      </c>
      <c r="E380" s="13">
        <v>155575917.63999999</v>
      </c>
      <c r="F380" s="13">
        <v>32351019.359999999</v>
      </c>
      <c r="G380" s="13">
        <v>39790544.640000001</v>
      </c>
    </row>
    <row r="381" spans="1:7">
      <c r="A381" s="4">
        <v>32</v>
      </c>
      <c r="B381" s="4" t="s">
        <v>32</v>
      </c>
      <c r="C381">
        <v>8</v>
      </c>
      <c r="D381" s="5" t="s">
        <v>61</v>
      </c>
      <c r="E381" s="13">
        <v>137896836.09</v>
      </c>
      <c r="F381" s="13">
        <v>28674767.16</v>
      </c>
      <c r="G381" s="13">
        <v>35268891.840000004</v>
      </c>
    </row>
    <row r="382" spans="1:7">
      <c r="A382" s="3">
        <v>32</v>
      </c>
      <c r="B382" s="4" t="s">
        <v>32</v>
      </c>
      <c r="C382">
        <v>9</v>
      </c>
      <c r="D382" s="5" t="s">
        <v>62</v>
      </c>
      <c r="E382" s="13">
        <v>146736376.86500001</v>
      </c>
      <c r="F382" s="13">
        <v>30512893.260000002</v>
      </c>
      <c r="G382" s="13">
        <v>37529718.240000002</v>
      </c>
    </row>
    <row r="383" spans="1:7">
      <c r="A383" s="4">
        <v>32</v>
      </c>
      <c r="B383" s="4" t="s">
        <v>32</v>
      </c>
      <c r="C383">
        <v>10</v>
      </c>
      <c r="D383" s="5" t="s">
        <v>63</v>
      </c>
      <c r="E383" s="13">
        <v>150272193.17500001</v>
      </c>
      <c r="F383" s="13">
        <v>31248143.699999999</v>
      </c>
      <c r="G383" s="13">
        <v>38434048.799999997</v>
      </c>
    </row>
    <row r="384" spans="1:7">
      <c r="A384" s="3">
        <v>32</v>
      </c>
      <c r="B384" s="4" t="s">
        <v>32</v>
      </c>
      <c r="C384">
        <v>11</v>
      </c>
      <c r="D384" s="5" t="s">
        <v>64</v>
      </c>
      <c r="E384" s="13">
        <v>160879642.10499999</v>
      </c>
      <c r="F384" s="13">
        <v>33453895.02</v>
      </c>
      <c r="G384" s="13">
        <v>41147040.479999997</v>
      </c>
    </row>
    <row r="385" spans="1:7">
      <c r="A385" s="11">
        <v>32</v>
      </c>
      <c r="B385" s="11" t="s">
        <v>32</v>
      </c>
      <c r="C385">
        <v>12</v>
      </c>
      <c r="D385" s="5" t="s">
        <v>65</v>
      </c>
      <c r="E385" s="13">
        <v>153808009.48500001</v>
      </c>
      <c r="F385" s="13">
        <v>31983394.140000001</v>
      </c>
      <c r="G385" s="13">
        <v>39338379.359999999</v>
      </c>
    </row>
    <row r="386" spans="1:7">
      <c r="A386" s="3">
        <v>33</v>
      </c>
      <c r="B386" s="4" t="s">
        <v>33</v>
      </c>
      <c r="C386">
        <v>1</v>
      </c>
      <c r="D386" s="5" t="s">
        <v>54</v>
      </c>
      <c r="E386" s="13">
        <v>90873245.125</v>
      </c>
      <c r="F386" s="13">
        <v>35956508.020000003</v>
      </c>
      <c r="G386" s="13">
        <v>27142028.370000001</v>
      </c>
    </row>
    <row r="387" spans="1:7">
      <c r="A387" s="4">
        <v>33</v>
      </c>
      <c r="B387" s="4" t="s">
        <v>33</v>
      </c>
      <c r="C387">
        <v>2</v>
      </c>
      <c r="D387" s="5" t="s">
        <v>55</v>
      </c>
      <c r="E387" s="13">
        <v>95252678.625</v>
      </c>
      <c r="F387" s="13">
        <v>37689351.780000001</v>
      </c>
      <c r="G387" s="13">
        <v>28450077.93</v>
      </c>
    </row>
    <row r="388" spans="1:7">
      <c r="A388" s="3">
        <v>33</v>
      </c>
      <c r="B388" s="4" t="s">
        <v>33</v>
      </c>
      <c r="C388">
        <v>3</v>
      </c>
      <c r="D388" s="5" t="s">
        <v>56</v>
      </c>
      <c r="E388" s="13">
        <v>88683528.375</v>
      </c>
      <c r="F388" s="13">
        <v>35090086.140000001</v>
      </c>
      <c r="G388" s="13">
        <v>26488003.59</v>
      </c>
    </row>
    <row r="389" spans="1:7">
      <c r="A389" s="4">
        <v>33</v>
      </c>
      <c r="B389" s="4" t="s">
        <v>33</v>
      </c>
      <c r="C389">
        <v>4</v>
      </c>
      <c r="D389" s="5" t="s">
        <v>57</v>
      </c>
      <c r="E389" s="13">
        <v>86493811.625</v>
      </c>
      <c r="F389" s="13">
        <v>34223664.259999998</v>
      </c>
      <c r="G389" s="13">
        <v>25833978.809999999</v>
      </c>
    </row>
    <row r="390" spans="1:7">
      <c r="A390" s="3">
        <v>33</v>
      </c>
      <c r="B390" s="4" t="s">
        <v>33</v>
      </c>
      <c r="C390">
        <v>5</v>
      </c>
      <c r="D390" s="5" t="s">
        <v>58</v>
      </c>
      <c r="E390" s="13">
        <v>87588670</v>
      </c>
      <c r="F390" s="13">
        <v>34656875.200000003</v>
      </c>
      <c r="G390" s="13">
        <v>26160991.199999999</v>
      </c>
    </row>
    <row r="391" spans="1:7">
      <c r="A391" s="4">
        <v>33</v>
      </c>
      <c r="B391" s="4" t="s">
        <v>33</v>
      </c>
      <c r="C391">
        <v>6</v>
      </c>
      <c r="D391" s="5" t="s">
        <v>59</v>
      </c>
      <c r="E391" s="13">
        <v>85398953.25</v>
      </c>
      <c r="F391" s="13">
        <v>33790453.32</v>
      </c>
      <c r="G391" s="13">
        <v>25506966.420000002</v>
      </c>
    </row>
    <row r="392" spans="1:7">
      <c r="A392" s="3">
        <v>33</v>
      </c>
      <c r="B392" s="4" t="s">
        <v>33</v>
      </c>
      <c r="C392">
        <v>7</v>
      </c>
      <c r="D392" s="5" t="s">
        <v>60</v>
      </c>
      <c r="E392" s="13">
        <v>96347537</v>
      </c>
      <c r="F392" s="13">
        <v>38122562.719999999</v>
      </c>
      <c r="G392" s="13">
        <v>28777090.32</v>
      </c>
    </row>
    <row r="393" spans="1:7">
      <c r="A393" s="4">
        <v>33</v>
      </c>
      <c r="B393" s="4" t="s">
        <v>33</v>
      </c>
      <c r="C393">
        <v>8</v>
      </c>
      <c r="D393" s="5" t="s">
        <v>61</v>
      </c>
      <c r="E393" s="13">
        <v>85398953.25</v>
      </c>
      <c r="F393" s="13">
        <v>33790453.32</v>
      </c>
      <c r="G393" s="13">
        <v>25506966.420000002</v>
      </c>
    </row>
    <row r="394" spans="1:7">
      <c r="A394" s="3">
        <v>33</v>
      </c>
      <c r="B394" s="4" t="s">
        <v>33</v>
      </c>
      <c r="C394">
        <v>9</v>
      </c>
      <c r="D394" s="5" t="s">
        <v>62</v>
      </c>
      <c r="E394" s="13">
        <v>90873245.125</v>
      </c>
      <c r="F394" s="13">
        <v>35956508.020000003</v>
      </c>
      <c r="G394" s="13">
        <v>27142028.370000001</v>
      </c>
    </row>
    <row r="395" spans="1:7">
      <c r="A395" s="4">
        <v>33</v>
      </c>
      <c r="B395" s="4" t="s">
        <v>33</v>
      </c>
      <c r="C395">
        <v>10</v>
      </c>
      <c r="D395" s="5" t="s">
        <v>63</v>
      </c>
      <c r="E395" s="13">
        <v>93062961.875</v>
      </c>
      <c r="F395" s="13">
        <v>36822929.899999999</v>
      </c>
      <c r="G395" s="13">
        <v>27796053.149999999</v>
      </c>
    </row>
    <row r="396" spans="1:7">
      <c r="A396" s="3">
        <v>33</v>
      </c>
      <c r="B396" s="4" t="s">
        <v>33</v>
      </c>
      <c r="C396">
        <v>11</v>
      </c>
      <c r="D396" s="5" t="s">
        <v>64</v>
      </c>
      <c r="E396" s="13">
        <v>99632112.125</v>
      </c>
      <c r="F396" s="13">
        <v>39422195.539999999</v>
      </c>
      <c r="G396" s="13">
        <v>29758127.489999998</v>
      </c>
    </row>
    <row r="397" spans="1:7">
      <c r="A397" s="11">
        <v>33</v>
      </c>
      <c r="B397" s="11" t="s">
        <v>33</v>
      </c>
      <c r="C397">
        <v>12</v>
      </c>
      <c r="D397" s="5" t="s">
        <v>65</v>
      </c>
      <c r="E397" s="13">
        <v>95252678.625</v>
      </c>
      <c r="F397" s="13">
        <v>37689351.780000001</v>
      </c>
      <c r="G397" s="13">
        <v>28450077.93</v>
      </c>
    </row>
    <row r="398" spans="1:7">
      <c r="A398" s="3">
        <v>34</v>
      </c>
      <c r="B398" s="4" t="s">
        <v>34</v>
      </c>
      <c r="C398">
        <v>1</v>
      </c>
      <c r="D398" s="5" t="s">
        <v>54</v>
      </c>
      <c r="E398" s="13">
        <v>5548050.7549999999</v>
      </c>
      <c r="F398" s="13">
        <v>1146024.1599999999</v>
      </c>
      <c r="G398" s="13">
        <v>2345607.39</v>
      </c>
    </row>
    <row r="399" spans="1:7">
      <c r="A399" s="4">
        <v>34</v>
      </c>
      <c r="B399" s="4" t="s">
        <v>34</v>
      </c>
      <c r="C399">
        <v>2</v>
      </c>
      <c r="D399" s="5" t="s">
        <v>55</v>
      </c>
      <c r="E399" s="13">
        <v>5815426.6950000003</v>
      </c>
      <c r="F399" s="13">
        <v>1201254.24</v>
      </c>
      <c r="G399" s="13">
        <v>2458648.71</v>
      </c>
    </row>
    <row r="400" spans="1:7">
      <c r="A400" s="3">
        <v>34</v>
      </c>
      <c r="B400" s="4" t="s">
        <v>34</v>
      </c>
      <c r="C400">
        <v>3</v>
      </c>
      <c r="D400" s="5" t="s">
        <v>56</v>
      </c>
      <c r="E400" s="13">
        <v>5414362.7850000001</v>
      </c>
      <c r="F400" s="13">
        <v>1118409.1200000001</v>
      </c>
      <c r="G400" s="13">
        <v>2289086.73</v>
      </c>
    </row>
    <row r="401" spans="1:7">
      <c r="A401" s="4">
        <v>34</v>
      </c>
      <c r="B401" s="4" t="s">
        <v>34</v>
      </c>
      <c r="C401">
        <v>4</v>
      </c>
      <c r="D401" s="5" t="s">
        <v>57</v>
      </c>
      <c r="E401" s="13">
        <v>5280674.8150000004</v>
      </c>
      <c r="F401" s="13">
        <v>1090794.08</v>
      </c>
      <c r="G401" s="13">
        <v>2232566.0699999998</v>
      </c>
    </row>
    <row r="402" spans="1:7">
      <c r="A402" s="3">
        <v>34</v>
      </c>
      <c r="B402" s="4" t="s">
        <v>34</v>
      </c>
      <c r="C402">
        <v>5</v>
      </c>
      <c r="D402" s="5" t="s">
        <v>58</v>
      </c>
      <c r="E402" s="13">
        <v>5347518.8</v>
      </c>
      <c r="F402" s="13">
        <v>1104601.6000000001</v>
      </c>
      <c r="G402" s="13">
        <v>2260826.4</v>
      </c>
    </row>
    <row r="403" spans="1:7">
      <c r="A403" s="4">
        <v>34</v>
      </c>
      <c r="B403" s="4" t="s">
        <v>34</v>
      </c>
      <c r="C403">
        <v>6</v>
      </c>
      <c r="D403" s="5" t="s">
        <v>59</v>
      </c>
      <c r="E403" s="13">
        <v>5213830.83</v>
      </c>
      <c r="F403" s="13">
        <v>1076986.56</v>
      </c>
      <c r="G403" s="13">
        <v>2204305.7400000002</v>
      </c>
    </row>
    <row r="404" spans="1:7">
      <c r="A404" s="3">
        <v>34</v>
      </c>
      <c r="B404" s="4" t="s">
        <v>34</v>
      </c>
      <c r="C404">
        <v>7</v>
      </c>
      <c r="D404" s="5" t="s">
        <v>60</v>
      </c>
      <c r="E404" s="13">
        <v>5882270.6799999997</v>
      </c>
      <c r="F404" s="13">
        <v>1215061.76</v>
      </c>
      <c r="G404" s="13">
        <v>2486909.04</v>
      </c>
    </row>
    <row r="405" spans="1:7">
      <c r="A405" s="4">
        <v>34</v>
      </c>
      <c r="B405" s="4" t="s">
        <v>34</v>
      </c>
      <c r="C405">
        <v>8</v>
      </c>
      <c r="D405" s="5" t="s">
        <v>61</v>
      </c>
      <c r="E405" s="13">
        <v>5213830.83</v>
      </c>
      <c r="F405" s="13">
        <v>1076986.56</v>
      </c>
      <c r="G405" s="13">
        <v>2204305.7400000002</v>
      </c>
    </row>
    <row r="406" spans="1:7">
      <c r="A406" s="3">
        <v>34</v>
      </c>
      <c r="B406" s="4" t="s">
        <v>34</v>
      </c>
      <c r="C406">
        <v>9</v>
      </c>
      <c r="D406" s="5" t="s">
        <v>62</v>
      </c>
      <c r="E406" s="13">
        <v>5548050.7549999999</v>
      </c>
      <c r="F406" s="13">
        <v>1146024.1599999999</v>
      </c>
      <c r="G406" s="13">
        <v>2345607.39</v>
      </c>
    </row>
    <row r="407" spans="1:7">
      <c r="A407" s="4">
        <v>34</v>
      </c>
      <c r="B407" s="4" t="s">
        <v>34</v>
      </c>
      <c r="C407">
        <v>10</v>
      </c>
      <c r="D407" s="5" t="s">
        <v>63</v>
      </c>
      <c r="E407" s="13">
        <v>5681738.7249999996</v>
      </c>
      <c r="F407" s="13">
        <v>1173639.2</v>
      </c>
      <c r="G407" s="13">
        <v>2402128.0499999998</v>
      </c>
    </row>
    <row r="408" spans="1:7">
      <c r="A408" s="3">
        <v>34</v>
      </c>
      <c r="B408" s="4" t="s">
        <v>34</v>
      </c>
      <c r="C408">
        <v>11</v>
      </c>
      <c r="D408" s="5" t="s">
        <v>64</v>
      </c>
      <c r="E408" s="13">
        <v>6082802.6349999998</v>
      </c>
      <c r="F408" s="13">
        <v>1256484.32</v>
      </c>
      <c r="G408" s="13">
        <v>2571690.0299999998</v>
      </c>
    </row>
    <row r="409" spans="1:7">
      <c r="A409" s="11">
        <v>34</v>
      </c>
      <c r="B409" s="11" t="s">
        <v>34</v>
      </c>
      <c r="C409">
        <v>12</v>
      </c>
      <c r="D409" s="5" t="s">
        <v>65</v>
      </c>
      <c r="E409" s="13">
        <v>5815426.6950000003</v>
      </c>
      <c r="F409" s="13">
        <v>1201254.24</v>
      </c>
      <c r="G409" s="13">
        <v>2458648.71</v>
      </c>
    </row>
    <row r="410" spans="1:7">
      <c r="A410" s="3">
        <v>35</v>
      </c>
      <c r="B410" s="4" t="s">
        <v>35</v>
      </c>
      <c r="C410">
        <v>1</v>
      </c>
      <c r="D410" s="5" t="s">
        <v>54</v>
      </c>
      <c r="E410" s="13">
        <v>157449854.185</v>
      </c>
      <c r="F410" s="13">
        <v>58590485.18</v>
      </c>
      <c r="G410" s="13">
        <v>37753109.420000002</v>
      </c>
    </row>
    <row r="411" spans="1:7">
      <c r="A411" s="4">
        <v>35</v>
      </c>
      <c r="B411" s="4" t="s">
        <v>35</v>
      </c>
      <c r="C411">
        <v>2</v>
      </c>
      <c r="D411" s="5" t="s">
        <v>55</v>
      </c>
      <c r="E411" s="13">
        <v>165037798.965</v>
      </c>
      <c r="F411" s="13">
        <v>61414123.020000003</v>
      </c>
      <c r="G411" s="13">
        <v>39572536.380000003</v>
      </c>
    </row>
    <row r="412" spans="1:7">
      <c r="A412" s="3">
        <v>35</v>
      </c>
      <c r="B412" s="4" t="s">
        <v>35</v>
      </c>
      <c r="C412">
        <v>3</v>
      </c>
      <c r="D412" s="5" t="s">
        <v>56</v>
      </c>
      <c r="E412" s="13">
        <v>153655881.79499999</v>
      </c>
      <c r="F412" s="13">
        <v>57178666.259999998</v>
      </c>
      <c r="G412" s="13">
        <v>36843395.939999998</v>
      </c>
    </row>
    <row r="413" spans="1:7">
      <c r="A413" s="4">
        <v>35</v>
      </c>
      <c r="B413" s="4" t="s">
        <v>35</v>
      </c>
      <c r="C413">
        <v>4</v>
      </c>
      <c r="D413" s="5" t="s">
        <v>57</v>
      </c>
      <c r="E413" s="13">
        <v>149861909.405</v>
      </c>
      <c r="F413" s="13">
        <v>55766847.340000004</v>
      </c>
      <c r="G413" s="13">
        <v>35933682.460000001</v>
      </c>
    </row>
    <row r="414" spans="1:7">
      <c r="A414" s="3">
        <v>35</v>
      </c>
      <c r="B414" s="4" t="s">
        <v>35</v>
      </c>
      <c r="C414">
        <v>5</v>
      </c>
      <c r="D414" s="5" t="s">
        <v>58</v>
      </c>
      <c r="E414" s="13">
        <v>151758895.59999999</v>
      </c>
      <c r="F414" s="13">
        <v>56472756.799999997</v>
      </c>
      <c r="G414" s="13">
        <v>36388539.200000003</v>
      </c>
    </row>
    <row r="415" spans="1:7">
      <c r="A415" s="4">
        <v>35</v>
      </c>
      <c r="B415" s="4" t="s">
        <v>35</v>
      </c>
      <c r="C415">
        <v>6</v>
      </c>
      <c r="D415" s="5" t="s">
        <v>59</v>
      </c>
      <c r="E415" s="13">
        <v>147964923.21000001</v>
      </c>
      <c r="F415" s="13">
        <v>55060937.880000003</v>
      </c>
      <c r="G415" s="13">
        <v>35478825.719999999</v>
      </c>
    </row>
    <row r="416" spans="1:7">
      <c r="A416" s="3">
        <v>35</v>
      </c>
      <c r="B416" s="4" t="s">
        <v>35</v>
      </c>
      <c r="C416">
        <v>7</v>
      </c>
      <c r="D416" s="5" t="s">
        <v>60</v>
      </c>
      <c r="E416" s="13">
        <v>166934785.16</v>
      </c>
      <c r="F416" s="13">
        <v>62120032.479999997</v>
      </c>
      <c r="G416" s="13">
        <v>40027393.119999997</v>
      </c>
    </row>
    <row r="417" spans="1:7">
      <c r="A417" s="4">
        <v>35</v>
      </c>
      <c r="B417" s="4" t="s">
        <v>35</v>
      </c>
      <c r="C417">
        <v>8</v>
      </c>
      <c r="D417" s="5" t="s">
        <v>61</v>
      </c>
      <c r="E417" s="13">
        <v>147964923.21000001</v>
      </c>
      <c r="F417" s="13">
        <v>55060937.880000003</v>
      </c>
      <c r="G417" s="13">
        <v>35478825.719999999</v>
      </c>
    </row>
    <row r="418" spans="1:7">
      <c r="A418" s="3">
        <v>35</v>
      </c>
      <c r="B418" s="4" t="s">
        <v>35</v>
      </c>
      <c r="C418">
        <v>9</v>
      </c>
      <c r="D418" s="5" t="s">
        <v>62</v>
      </c>
      <c r="E418" s="13">
        <v>157449854.185</v>
      </c>
      <c r="F418" s="13">
        <v>58590485.18</v>
      </c>
      <c r="G418" s="13">
        <v>37753109.420000002</v>
      </c>
    </row>
    <row r="419" spans="1:7">
      <c r="A419" s="4">
        <v>35</v>
      </c>
      <c r="B419" s="4" t="s">
        <v>35</v>
      </c>
      <c r="C419">
        <v>10</v>
      </c>
      <c r="D419" s="5" t="s">
        <v>63</v>
      </c>
      <c r="E419" s="13">
        <v>161243826.57499999</v>
      </c>
      <c r="F419" s="13">
        <v>60002304.100000001</v>
      </c>
      <c r="G419" s="13">
        <v>38662822.899999999</v>
      </c>
    </row>
    <row r="420" spans="1:7">
      <c r="A420" s="3">
        <v>35</v>
      </c>
      <c r="B420" s="4" t="s">
        <v>35</v>
      </c>
      <c r="C420">
        <v>11</v>
      </c>
      <c r="D420" s="5" t="s">
        <v>64</v>
      </c>
      <c r="E420" s="13">
        <v>172625743.745</v>
      </c>
      <c r="F420" s="13">
        <v>64237760.859999999</v>
      </c>
      <c r="G420" s="13">
        <v>41391963.340000004</v>
      </c>
    </row>
    <row r="421" spans="1:7">
      <c r="A421" s="11">
        <v>35</v>
      </c>
      <c r="B421" s="11" t="s">
        <v>35</v>
      </c>
      <c r="C421">
        <v>12</v>
      </c>
      <c r="D421" s="5" t="s">
        <v>65</v>
      </c>
      <c r="E421" s="13">
        <v>165037798.965</v>
      </c>
      <c r="F421" s="13">
        <v>61414123.020000003</v>
      </c>
      <c r="G421" s="13">
        <v>39572536.380000003</v>
      </c>
    </row>
    <row r="422" spans="1:7">
      <c r="A422" s="3">
        <v>36</v>
      </c>
      <c r="B422" s="4" t="s">
        <v>36</v>
      </c>
      <c r="C422">
        <v>1</v>
      </c>
      <c r="D422" s="5" t="s">
        <v>54</v>
      </c>
      <c r="E422" s="13">
        <v>41514724.615000002</v>
      </c>
      <c r="F422" s="13">
        <v>5013855.7</v>
      </c>
      <c r="G422" s="13">
        <v>6478344.2199999997</v>
      </c>
    </row>
    <row r="423" spans="1:7">
      <c r="A423" s="4">
        <v>36</v>
      </c>
      <c r="B423" s="4" t="s">
        <v>36</v>
      </c>
      <c r="C423">
        <v>2</v>
      </c>
      <c r="D423" s="5" t="s">
        <v>55</v>
      </c>
      <c r="E423" s="13">
        <v>43515434.234999999</v>
      </c>
      <c r="F423" s="13">
        <v>5255487.3</v>
      </c>
      <c r="G423" s="13">
        <v>6790553.5800000001</v>
      </c>
    </row>
    <row r="424" spans="1:7">
      <c r="A424" s="3">
        <v>36</v>
      </c>
      <c r="B424" s="4" t="s">
        <v>36</v>
      </c>
      <c r="C424">
        <v>3</v>
      </c>
      <c r="D424" s="5" t="s">
        <v>56</v>
      </c>
      <c r="E424" s="13">
        <v>40514369.805</v>
      </c>
      <c r="F424" s="13">
        <v>4893039.9000000004</v>
      </c>
      <c r="G424" s="13">
        <v>6322239.54</v>
      </c>
    </row>
    <row r="425" spans="1:7">
      <c r="A425" s="4">
        <v>36</v>
      </c>
      <c r="B425" s="4" t="s">
        <v>36</v>
      </c>
      <c r="C425">
        <v>4</v>
      </c>
      <c r="D425" s="5" t="s">
        <v>57</v>
      </c>
      <c r="E425" s="13">
        <v>39514014.994999997</v>
      </c>
      <c r="F425" s="13">
        <v>4772224.0999999996</v>
      </c>
      <c r="G425" s="13">
        <v>6166134.8600000003</v>
      </c>
    </row>
    <row r="426" spans="1:7">
      <c r="A426" s="3">
        <v>36</v>
      </c>
      <c r="B426" s="4" t="s">
        <v>36</v>
      </c>
      <c r="C426">
        <v>5</v>
      </c>
      <c r="D426" s="5" t="s">
        <v>58</v>
      </c>
      <c r="E426" s="13">
        <v>40014192.399999999</v>
      </c>
      <c r="F426" s="13">
        <v>4832632</v>
      </c>
      <c r="G426" s="13">
        <v>6244187.2000000002</v>
      </c>
    </row>
    <row r="427" spans="1:7">
      <c r="A427" s="4">
        <v>36</v>
      </c>
      <c r="B427" s="4" t="s">
        <v>36</v>
      </c>
      <c r="C427">
        <v>6</v>
      </c>
      <c r="D427" s="5" t="s">
        <v>59</v>
      </c>
      <c r="E427" s="13">
        <v>39013837.590000004</v>
      </c>
      <c r="F427" s="13">
        <v>4711816.2</v>
      </c>
      <c r="G427" s="13">
        <v>6088082.5199999996</v>
      </c>
    </row>
    <row r="428" spans="1:7">
      <c r="A428" s="3">
        <v>36</v>
      </c>
      <c r="B428" s="4" t="s">
        <v>36</v>
      </c>
      <c r="C428">
        <v>7</v>
      </c>
      <c r="D428" s="5" t="s">
        <v>60</v>
      </c>
      <c r="E428" s="13">
        <v>44015611.640000001</v>
      </c>
      <c r="F428" s="13">
        <v>5315895.2</v>
      </c>
      <c r="G428" s="13">
        <v>6868605.9199999999</v>
      </c>
    </row>
    <row r="429" spans="1:7">
      <c r="A429" s="4">
        <v>36</v>
      </c>
      <c r="B429" s="4" t="s">
        <v>36</v>
      </c>
      <c r="C429">
        <v>8</v>
      </c>
      <c r="D429" s="5" t="s">
        <v>61</v>
      </c>
      <c r="E429" s="13">
        <v>39013837.590000004</v>
      </c>
      <c r="F429" s="13">
        <v>4711816.2</v>
      </c>
      <c r="G429" s="13">
        <v>6088082.5199999996</v>
      </c>
    </row>
    <row r="430" spans="1:7">
      <c r="A430" s="3">
        <v>36</v>
      </c>
      <c r="B430" s="4" t="s">
        <v>36</v>
      </c>
      <c r="C430">
        <v>9</v>
      </c>
      <c r="D430" s="5" t="s">
        <v>62</v>
      </c>
      <c r="E430" s="13">
        <v>41514724.615000002</v>
      </c>
      <c r="F430" s="13">
        <v>5013855.7</v>
      </c>
      <c r="G430" s="13">
        <v>6478344.2199999997</v>
      </c>
    </row>
    <row r="431" spans="1:7">
      <c r="A431" s="4">
        <v>36</v>
      </c>
      <c r="B431" s="4" t="s">
        <v>36</v>
      </c>
      <c r="C431">
        <v>10</v>
      </c>
      <c r="D431" s="5" t="s">
        <v>63</v>
      </c>
      <c r="E431" s="13">
        <v>42515079.424999997</v>
      </c>
      <c r="F431" s="13">
        <v>5134671.5</v>
      </c>
      <c r="G431" s="13">
        <v>6634448.9000000004</v>
      </c>
    </row>
    <row r="432" spans="1:7">
      <c r="A432" s="3">
        <v>36</v>
      </c>
      <c r="B432" s="4" t="s">
        <v>36</v>
      </c>
      <c r="C432">
        <v>11</v>
      </c>
      <c r="D432" s="5" t="s">
        <v>64</v>
      </c>
      <c r="E432" s="13">
        <v>45516143.854999997</v>
      </c>
      <c r="F432" s="13">
        <v>5497118.9000000004</v>
      </c>
      <c r="G432" s="13">
        <v>7102762.9400000004</v>
      </c>
    </row>
    <row r="433" spans="1:7">
      <c r="A433" s="11">
        <v>36</v>
      </c>
      <c r="B433" s="11" t="s">
        <v>36</v>
      </c>
      <c r="C433">
        <v>12</v>
      </c>
      <c r="D433" s="5" t="s">
        <v>65</v>
      </c>
      <c r="E433" s="13">
        <v>43515434.234999999</v>
      </c>
      <c r="F433" s="13">
        <v>5255487.3</v>
      </c>
      <c r="G433" s="13">
        <v>6790553.5800000001</v>
      </c>
    </row>
    <row r="434" spans="1:7">
      <c r="A434" s="3">
        <v>37</v>
      </c>
      <c r="B434" s="4" t="s">
        <v>37</v>
      </c>
      <c r="C434">
        <v>1</v>
      </c>
      <c r="D434" s="5" t="s">
        <v>54</v>
      </c>
      <c r="E434" s="13">
        <v>39218979.475000001</v>
      </c>
      <c r="F434" s="13">
        <v>5443614.7599999998</v>
      </c>
      <c r="G434" s="13">
        <v>9717516.3300000001</v>
      </c>
    </row>
    <row r="435" spans="1:7">
      <c r="A435" s="4">
        <v>37</v>
      </c>
      <c r="B435" s="4" t="s">
        <v>37</v>
      </c>
      <c r="C435">
        <v>2</v>
      </c>
      <c r="D435" s="5" t="s">
        <v>55</v>
      </c>
      <c r="E435" s="13">
        <v>41109050.774999999</v>
      </c>
      <c r="F435" s="13">
        <v>5705957.6399999997</v>
      </c>
      <c r="G435" s="13">
        <v>10185830.369999999</v>
      </c>
    </row>
    <row r="436" spans="1:7">
      <c r="A436" s="3">
        <v>37</v>
      </c>
      <c r="B436" s="4" t="s">
        <v>37</v>
      </c>
      <c r="C436">
        <v>3</v>
      </c>
      <c r="D436" s="5" t="s">
        <v>56</v>
      </c>
      <c r="E436" s="13">
        <v>38273943.825000003</v>
      </c>
      <c r="F436" s="13">
        <v>5312443.32</v>
      </c>
      <c r="G436" s="13">
        <v>9483359.3100000005</v>
      </c>
    </row>
    <row r="437" spans="1:7">
      <c r="A437" s="4">
        <v>37</v>
      </c>
      <c r="B437" s="4" t="s">
        <v>37</v>
      </c>
      <c r="C437">
        <v>4</v>
      </c>
      <c r="D437" s="5" t="s">
        <v>57</v>
      </c>
      <c r="E437" s="13">
        <v>37328908.174999997</v>
      </c>
      <c r="F437" s="13">
        <v>5181271.88</v>
      </c>
      <c r="G437" s="13">
        <v>9249202.2899999991</v>
      </c>
    </row>
    <row r="438" spans="1:7">
      <c r="A438" s="3">
        <v>37</v>
      </c>
      <c r="B438" s="4" t="s">
        <v>37</v>
      </c>
      <c r="C438">
        <v>5</v>
      </c>
      <c r="D438" s="5" t="s">
        <v>58</v>
      </c>
      <c r="E438" s="13">
        <v>37801426</v>
      </c>
      <c r="F438" s="13">
        <v>5246857.5999999996</v>
      </c>
      <c r="G438" s="13">
        <v>9366280.8000000007</v>
      </c>
    </row>
    <row r="439" spans="1:7">
      <c r="A439" s="4">
        <v>37</v>
      </c>
      <c r="B439" s="4" t="s">
        <v>37</v>
      </c>
      <c r="C439">
        <v>6</v>
      </c>
      <c r="D439" s="5" t="s">
        <v>59</v>
      </c>
      <c r="E439" s="13">
        <v>36856390.350000001</v>
      </c>
      <c r="F439" s="13">
        <v>5115686.16</v>
      </c>
      <c r="G439" s="13">
        <v>9132123.7799999993</v>
      </c>
    </row>
    <row r="440" spans="1:7">
      <c r="A440" s="3">
        <v>37</v>
      </c>
      <c r="B440" s="4" t="s">
        <v>37</v>
      </c>
      <c r="C440">
        <v>7</v>
      </c>
      <c r="D440" s="5" t="s">
        <v>60</v>
      </c>
      <c r="E440" s="13">
        <v>41581568.600000001</v>
      </c>
      <c r="F440" s="13">
        <v>5771543.3600000003</v>
      </c>
      <c r="G440" s="13">
        <v>10302908.880000001</v>
      </c>
    </row>
    <row r="441" spans="1:7">
      <c r="A441" s="4">
        <v>37</v>
      </c>
      <c r="B441" s="4" t="s">
        <v>37</v>
      </c>
      <c r="C441">
        <v>8</v>
      </c>
      <c r="D441" s="5" t="s">
        <v>61</v>
      </c>
      <c r="E441" s="13">
        <v>36856390.350000001</v>
      </c>
      <c r="F441" s="13">
        <v>5115686.16</v>
      </c>
      <c r="G441" s="13">
        <v>9132123.7799999993</v>
      </c>
    </row>
    <row r="442" spans="1:7">
      <c r="A442" s="3">
        <v>37</v>
      </c>
      <c r="B442" s="4" t="s">
        <v>37</v>
      </c>
      <c r="C442">
        <v>9</v>
      </c>
      <c r="D442" s="5" t="s">
        <v>62</v>
      </c>
      <c r="E442" s="13">
        <v>39218979.475000001</v>
      </c>
      <c r="F442" s="13">
        <v>5443614.7599999998</v>
      </c>
      <c r="G442" s="13">
        <v>9717516.3300000001</v>
      </c>
    </row>
    <row r="443" spans="1:7">
      <c r="A443" s="4">
        <v>37</v>
      </c>
      <c r="B443" s="4" t="s">
        <v>37</v>
      </c>
      <c r="C443">
        <v>10</v>
      </c>
      <c r="D443" s="5" t="s">
        <v>63</v>
      </c>
      <c r="E443" s="13">
        <v>40164015.125</v>
      </c>
      <c r="F443" s="13">
        <v>5574786.2000000002</v>
      </c>
      <c r="G443" s="13">
        <v>9951673.3499999996</v>
      </c>
    </row>
    <row r="444" spans="1:7">
      <c r="A444" s="3">
        <v>37</v>
      </c>
      <c r="B444" s="4" t="s">
        <v>37</v>
      </c>
      <c r="C444">
        <v>11</v>
      </c>
      <c r="D444" s="5" t="s">
        <v>64</v>
      </c>
      <c r="E444" s="13">
        <v>42999122.075000003</v>
      </c>
      <c r="F444" s="13">
        <v>5968300.5199999996</v>
      </c>
      <c r="G444" s="13">
        <v>10654144.41</v>
      </c>
    </row>
    <row r="445" spans="1:7">
      <c r="A445" s="11">
        <v>37</v>
      </c>
      <c r="B445" s="11" t="s">
        <v>37</v>
      </c>
      <c r="C445">
        <v>12</v>
      </c>
      <c r="D445" s="5" t="s">
        <v>65</v>
      </c>
      <c r="E445" s="13">
        <v>41109050.774999999</v>
      </c>
      <c r="F445" s="13">
        <v>5705957.6399999997</v>
      </c>
      <c r="G445" s="13">
        <v>10185830.369999999</v>
      </c>
    </row>
    <row r="446" spans="1:7">
      <c r="A446" s="3">
        <v>38</v>
      </c>
      <c r="B446" s="4" t="s">
        <v>38</v>
      </c>
      <c r="C446">
        <v>1</v>
      </c>
      <c r="D446" s="5" t="s">
        <v>54</v>
      </c>
      <c r="E446" s="13">
        <v>111534951.38500001</v>
      </c>
      <c r="F446" s="13">
        <v>36816026.140000001</v>
      </c>
      <c r="G446" s="13">
        <v>30269504.890000001</v>
      </c>
    </row>
    <row r="447" spans="1:7">
      <c r="A447" s="4">
        <v>38</v>
      </c>
      <c r="B447" s="4" t="s">
        <v>38</v>
      </c>
      <c r="C447">
        <v>2</v>
      </c>
      <c r="D447" s="5" t="s">
        <v>55</v>
      </c>
      <c r="E447" s="13">
        <v>116910129.765</v>
      </c>
      <c r="F447" s="13">
        <v>38590292.460000001</v>
      </c>
      <c r="G447" s="13">
        <v>31728276.210000001</v>
      </c>
    </row>
    <row r="448" spans="1:7">
      <c r="A448" s="3">
        <v>38</v>
      </c>
      <c r="B448" s="4" t="s">
        <v>38</v>
      </c>
      <c r="C448">
        <v>3</v>
      </c>
      <c r="D448" s="5" t="s">
        <v>56</v>
      </c>
      <c r="E448" s="13">
        <v>108847362.19499999</v>
      </c>
      <c r="F448" s="13">
        <v>35928892.979999997</v>
      </c>
      <c r="G448" s="13">
        <v>29540119.23</v>
      </c>
    </row>
    <row r="449" spans="1:7">
      <c r="A449" s="4">
        <v>38</v>
      </c>
      <c r="B449" s="4" t="s">
        <v>38</v>
      </c>
      <c r="C449">
        <v>4</v>
      </c>
      <c r="D449" s="5" t="s">
        <v>57</v>
      </c>
      <c r="E449" s="13">
        <v>106159773.005</v>
      </c>
      <c r="F449" s="13">
        <v>35041759.82</v>
      </c>
      <c r="G449" s="13">
        <v>28810733.57</v>
      </c>
    </row>
    <row r="450" spans="1:7">
      <c r="A450" s="3">
        <v>38</v>
      </c>
      <c r="B450" s="4" t="s">
        <v>38</v>
      </c>
      <c r="C450">
        <v>5</v>
      </c>
      <c r="D450" s="5" t="s">
        <v>58</v>
      </c>
      <c r="E450" s="13">
        <v>107503567.59999999</v>
      </c>
      <c r="F450" s="13">
        <v>35485326.399999999</v>
      </c>
      <c r="G450" s="13">
        <v>29175426.399999999</v>
      </c>
    </row>
    <row r="451" spans="1:7">
      <c r="A451" s="4">
        <v>38</v>
      </c>
      <c r="B451" s="4" t="s">
        <v>38</v>
      </c>
      <c r="C451">
        <v>6</v>
      </c>
      <c r="D451" s="5" t="s">
        <v>59</v>
      </c>
      <c r="E451" s="13">
        <v>104815978.41</v>
      </c>
      <c r="F451" s="13">
        <v>34598193.240000002</v>
      </c>
      <c r="G451" s="13">
        <v>28446040.739999998</v>
      </c>
    </row>
    <row r="452" spans="1:7">
      <c r="A452" s="3">
        <v>38</v>
      </c>
      <c r="B452" s="4" t="s">
        <v>38</v>
      </c>
      <c r="C452">
        <v>7</v>
      </c>
      <c r="D452" s="5" t="s">
        <v>60</v>
      </c>
      <c r="E452" s="13">
        <v>118253924.36</v>
      </c>
      <c r="F452" s="13">
        <v>39033859.039999999</v>
      </c>
      <c r="G452" s="13">
        <v>32092969.039999999</v>
      </c>
    </row>
    <row r="453" spans="1:7">
      <c r="A453" s="4">
        <v>38</v>
      </c>
      <c r="B453" s="4" t="s">
        <v>38</v>
      </c>
      <c r="C453">
        <v>8</v>
      </c>
      <c r="D453" s="5" t="s">
        <v>61</v>
      </c>
      <c r="E453" s="13">
        <v>104815978.41</v>
      </c>
      <c r="F453" s="13">
        <v>34598193.240000002</v>
      </c>
      <c r="G453" s="13">
        <v>28446040.739999998</v>
      </c>
    </row>
    <row r="454" spans="1:7">
      <c r="A454" s="3">
        <v>38</v>
      </c>
      <c r="B454" s="4" t="s">
        <v>38</v>
      </c>
      <c r="C454">
        <v>9</v>
      </c>
      <c r="D454" s="5" t="s">
        <v>62</v>
      </c>
      <c r="E454" s="13">
        <v>111534951.38500001</v>
      </c>
      <c r="F454" s="13">
        <v>36816026.140000001</v>
      </c>
      <c r="G454" s="13">
        <v>30269504.890000001</v>
      </c>
    </row>
    <row r="455" spans="1:7">
      <c r="A455" s="4">
        <v>38</v>
      </c>
      <c r="B455" s="4" t="s">
        <v>38</v>
      </c>
      <c r="C455">
        <v>10</v>
      </c>
      <c r="D455" s="5" t="s">
        <v>63</v>
      </c>
      <c r="E455" s="13">
        <v>114222540.575</v>
      </c>
      <c r="F455" s="13">
        <v>37703159.299999997</v>
      </c>
      <c r="G455" s="13">
        <v>30998890.550000001</v>
      </c>
    </row>
    <row r="456" spans="1:7">
      <c r="A456" s="3">
        <v>38</v>
      </c>
      <c r="B456" s="4" t="s">
        <v>38</v>
      </c>
      <c r="C456">
        <v>11</v>
      </c>
      <c r="D456" s="5" t="s">
        <v>64</v>
      </c>
      <c r="E456" s="13">
        <v>122285308.145</v>
      </c>
      <c r="F456" s="13">
        <v>40364558.780000001</v>
      </c>
      <c r="G456" s="13">
        <v>33187047.530000001</v>
      </c>
    </row>
    <row r="457" spans="1:7">
      <c r="A457" s="11">
        <v>38</v>
      </c>
      <c r="B457" s="11" t="s">
        <v>38</v>
      </c>
      <c r="C457">
        <v>12</v>
      </c>
      <c r="D457" s="5" t="s">
        <v>65</v>
      </c>
      <c r="E457" s="13">
        <v>116910129.765</v>
      </c>
      <c r="F457" s="13">
        <v>38590292.460000001</v>
      </c>
      <c r="G457" s="13">
        <v>31728276.210000001</v>
      </c>
    </row>
    <row r="458" spans="1:7">
      <c r="A458" s="3">
        <v>39</v>
      </c>
      <c r="B458" s="4" t="s">
        <v>39</v>
      </c>
      <c r="C458">
        <v>1</v>
      </c>
      <c r="D458" s="5" t="s">
        <v>54</v>
      </c>
      <c r="E458" s="13">
        <v>8417732.1799999997</v>
      </c>
      <c r="F458" s="13">
        <v>2578554.36</v>
      </c>
      <c r="G458" s="13">
        <v>3015780.93</v>
      </c>
    </row>
    <row r="459" spans="1:7">
      <c r="A459" s="4">
        <v>39</v>
      </c>
      <c r="B459" s="4" t="s">
        <v>39</v>
      </c>
      <c r="C459">
        <v>2</v>
      </c>
      <c r="D459" s="5" t="s">
        <v>55</v>
      </c>
      <c r="E459" s="13">
        <v>8823406.0199999996</v>
      </c>
      <c r="F459" s="13">
        <v>2702822.04</v>
      </c>
      <c r="G459" s="13">
        <v>3161119.77</v>
      </c>
    </row>
    <row r="460" spans="1:7">
      <c r="A460" s="3">
        <v>39</v>
      </c>
      <c r="B460" s="4" t="s">
        <v>39</v>
      </c>
      <c r="C460">
        <v>3</v>
      </c>
      <c r="D460" s="5" t="s">
        <v>56</v>
      </c>
      <c r="E460" s="13">
        <v>8214895.2599999998</v>
      </c>
      <c r="F460" s="13">
        <v>2516420.52</v>
      </c>
      <c r="G460" s="13">
        <v>2943111.51</v>
      </c>
    </row>
    <row r="461" spans="1:7">
      <c r="A461" s="4">
        <v>39</v>
      </c>
      <c r="B461" s="4" t="s">
        <v>39</v>
      </c>
      <c r="C461">
        <v>4</v>
      </c>
      <c r="D461" s="5" t="s">
        <v>57</v>
      </c>
      <c r="E461" s="13">
        <v>8012058.3399999999</v>
      </c>
      <c r="F461" s="13">
        <v>2454286.6800000002</v>
      </c>
      <c r="G461" s="13">
        <v>2870442.09</v>
      </c>
    </row>
    <row r="462" spans="1:7">
      <c r="A462" s="3">
        <v>39</v>
      </c>
      <c r="B462" s="4" t="s">
        <v>39</v>
      </c>
      <c r="C462">
        <v>5</v>
      </c>
      <c r="D462" s="5" t="s">
        <v>58</v>
      </c>
      <c r="E462" s="13">
        <v>8113476.7999999998</v>
      </c>
      <c r="F462" s="13">
        <v>2485353.6</v>
      </c>
      <c r="G462" s="13">
        <v>2906776.8</v>
      </c>
    </row>
    <row r="463" spans="1:7">
      <c r="A463" s="4">
        <v>39</v>
      </c>
      <c r="B463" s="4" t="s">
        <v>39</v>
      </c>
      <c r="C463">
        <v>6</v>
      </c>
      <c r="D463" s="5" t="s">
        <v>59</v>
      </c>
      <c r="E463" s="13">
        <v>7910639.8799999999</v>
      </c>
      <c r="F463" s="13">
        <v>2423219.7599999998</v>
      </c>
      <c r="G463" s="13">
        <v>2834107.38</v>
      </c>
    </row>
    <row r="464" spans="1:7">
      <c r="A464" s="3">
        <v>39</v>
      </c>
      <c r="B464" s="4" t="s">
        <v>39</v>
      </c>
      <c r="C464">
        <v>7</v>
      </c>
      <c r="D464" s="5" t="s">
        <v>60</v>
      </c>
      <c r="E464" s="13">
        <v>8924824.4800000004</v>
      </c>
      <c r="F464" s="13">
        <v>2733888.96</v>
      </c>
      <c r="G464" s="13">
        <v>3197454.48</v>
      </c>
    </row>
    <row r="465" spans="1:7">
      <c r="A465" s="4">
        <v>39</v>
      </c>
      <c r="B465" s="4" t="s">
        <v>39</v>
      </c>
      <c r="C465">
        <v>8</v>
      </c>
      <c r="D465" s="5" t="s">
        <v>61</v>
      </c>
      <c r="E465" s="13">
        <v>7910639.8799999999</v>
      </c>
      <c r="F465" s="13">
        <v>2423219.7599999998</v>
      </c>
      <c r="G465" s="13">
        <v>2834107.38</v>
      </c>
    </row>
    <row r="466" spans="1:7">
      <c r="A466" s="3">
        <v>39</v>
      </c>
      <c r="B466" s="4" t="s">
        <v>39</v>
      </c>
      <c r="C466">
        <v>9</v>
      </c>
      <c r="D466" s="5" t="s">
        <v>62</v>
      </c>
      <c r="E466" s="13">
        <v>8417732.1799999997</v>
      </c>
      <c r="F466" s="13">
        <v>2578554.36</v>
      </c>
      <c r="G466" s="13">
        <v>3015780.93</v>
      </c>
    </row>
    <row r="467" spans="1:7">
      <c r="A467" s="4">
        <v>39</v>
      </c>
      <c r="B467" s="4" t="s">
        <v>39</v>
      </c>
      <c r="C467">
        <v>10</v>
      </c>
      <c r="D467" s="5" t="s">
        <v>63</v>
      </c>
      <c r="E467" s="13">
        <v>8620569.0999999996</v>
      </c>
      <c r="F467" s="13">
        <v>2640688.2000000002</v>
      </c>
      <c r="G467" s="13">
        <v>3088450.35</v>
      </c>
    </row>
    <row r="468" spans="1:7">
      <c r="A468" s="3">
        <v>39</v>
      </c>
      <c r="B468" s="4" t="s">
        <v>39</v>
      </c>
      <c r="C468">
        <v>11</v>
      </c>
      <c r="D468" s="5" t="s">
        <v>64</v>
      </c>
      <c r="E468" s="13">
        <v>9229079.8599999994</v>
      </c>
      <c r="F468" s="13">
        <v>2827089.72</v>
      </c>
      <c r="G468" s="13">
        <v>3306458.61</v>
      </c>
    </row>
    <row r="469" spans="1:7">
      <c r="A469" s="11">
        <v>39</v>
      </c>
      <c r="B469" s="11" t="s">
        <v>39</v>
      </c>
      <c r="C469">
        <v>12</v>
      </c>
      <c r="D469" s="5" t="s">
        <v>65</v>
      </c>
      <c r="E469" s="13">
        <v>8823406.0199999996</v>
      </c>
      <c r="F469" s="13">
        <v>2702822.04</v>
      </c>
      <c r="G469" s="13">
        <v>3161119.77</v>
      </c>
    </row>
    <row r="470" spans="1:7">
      <c r="A470" s="3">
        <v>40</v>
      </c>
      <c r="B470" s="4" t="s">
        <v>40</v>
      </c>
      <c r="C470">
        <v>1</v>
      </c>
      <c r="D470" s="5" t="s">
        <v>54</v>
      </c>
      <c r="E470" s="13">
        <v>49358520.509999998</v>
      </c>
      <c r="F470" s="13">
        <v>18049880.52</v>
      </c>
      <c r="G470" s="13">
        <v>16754338.5</v>
      </c>
    </row>
    <row r="471" spans="1:7">
      <c r="A471" s="4">
        <v>40</v>
      </c>
      <c r="B471" s="4" t="s">
        <v>40</v>
      </c>
      <c r="C471">
        <v>2</v>
      </c>
      <c r="D471" s="5" t="s">
        <v>55</v>
      </c>
      <c r="E471" s="13">
        <v>51737244.390000001</v>
      </c>
      <c r="F471" s="13">
        <v>18919754.280000001</v>
      </c>
      <c r="G471" s="13">
        <v>17561776.5</v>
      </c>
    </row>
    <row r="472" spans="1:7">
      <c r="A472" s="3">
        <v>40</v>
      </c>
      <c r="B472" s="4" t="s">
        <v>40</v>
      </c>
      <c r="C472">
        <v>3</v>
      </c>
      <c r="D472" s="5" t="s">
        <v>56</v>
      </c>
      <c r="E472" s="13">
        <v>48169158.57</v>
      </c>
      <c r="F472" s="13">
        <v>17614943.640000001</v>
      </c>
      <c r="G472" s="13">
        <v>16350619.5</v>
      </c>
    </row>
    <row r="473" spans="1:7">
      <c r="A473" s="4">
        <v>40</v>
      </c>
      <c r="B473" s="4" t="s">
        <v>40</v>
      </c>
      <c r="C473">
        <v>4</v>
      </c>
      <c r="D473" s="5" t="s">
        <v>57</v>
      </c>
      <c r="E473" s="13">
        <v>46979796.630000003</v>
      </c>
      <c r="F473" s="13">
        <v>17180006.760000002</v>
      </c>
      <c r="G473" s="13">
        <v>15946900.5</v>
      </c>
    </row>
    <row r="474" spans="1:7">
      <c r="A474" s="3">
        <v>40</v>
      </c>
      <c r="B474" s="4" t="s">
        <v>40</v>
      </c>
      <c r="C474">
        <v>5</v>
      </c>
      <c r="D474" s="5" t="s">
        <v>58</v>
      </c>
      <c r="E474" s="13">
        <v>47574477.600000001</v>
      </c>
      <c r="F474" s="13">
        <v>17397475.199999999</v>
      </c>
      <c r="G474" s="13">
        <v>16148760</v>
      </c>
    </row>
    <row r="475" spans="1:7">
      <c r="A475" s="4">
        <v>40</v>
      </c>
      <c r="B475" s="4" t="s">
        <v>40</v>
      </c>
      <c r="C475">
        <v>6</v>
      </c>
      <c r="D475" s="5" t="s">
        <v>59</v>
      </c>
      <c r="E475" s="13">
        <v>46385115.659999996</v>
      </c>
      <c r="F475" s="13">
        <v>16962538.32</v>
      </c>
      <c r="G475" s="13">
        <v>15745041</v>
      </c>
    </row>
    <row r="476" spans="1:7">
      <c r="A476" s="3">
        <v>40</v>
      </c>
      <c r="B476" s="4" t="s">
        <v>40</v>
      </c>
      <c r="C476">
        <v>7</v>
      </c>
      <c r="D476" s="5" t="s">
        <v>60</v>
      </c>
      <c r="E476" s="13">
        <v>52331925.359999999</v>
      </c>
      <c r="F476" s="13">
        <v>19137222.719999999</v>
      </c>
      <c r="G476" s="13">
        <v>17763636</v>
      </c>
    </row>
    <row r="477" spans="1:7">
      <c r="A477" s="4">
        <v>40</v>
      </c>
      <c r="B477" s="4" t="s">
        <v>40</v>
      </c>
      <c r="C477">
        <v>8</v>
      </c>
      <c r="D477" s="5" t="s">
        <v>61</v>
      </c>
      <c r="E477" s="13">
        <v>46385115.659999996</v>
      </c>
      <c r="F477" s="13">
        <v>16962538.32</v>
      </c>
      <c r="G477" s="13">
        <v>15745041</v>
      </c>
    </row>
    <row r="478" spans="1:7">
      <c r="A478" s="3">
        <v>40</v>
      </c>
      <c r="B478" s="4" t="s">
        <v>40</v>
      </c>
      <c r="C478">
        <v>9</v>
      </c>
      <c r="D478" s="5" t="s">
        <v>62</v>
      </c>
      <c r="E478" s="13">
        <v>49358520.509999998</v>
      </c>
      <c r="F478" s="13">
        <v>18049880.52</v>
      </c>
      <c r="G478" s="13">
        <v>16754338.5</v>
      </c>
    </row>
    <row r="479" spans="1:7">
      <c r="A479" s="4">
        <v>40</v>
      </c>
      <c r="B479" s="4" t="s">
        <v>40</v>
      </c>
      <c r="C479">
        <v>10</v>
      </c>
      <c r="D479" s="5" t="s">
        <v>63</v>
      </c>
      <c r="E479" s="13">
        <v>50547882.450000003</v>
      </c>
      <c r="F479" s="13">
        <v>18484817.399999999</v>
      </c>
      <c r="G479" s="13">
        <v>17158057.5</v>
      </c>
    </row>
    <row r="480" spans="1:7">
      <c r="A480" s="3">
        <v>40</v>
      </c>
      <c r="B480" s="4" t="s">
        <v>40</v>
      </c>
      <c r="C480">
        <v>11</v>
      </c>
      <c r="D480" s="5" t="s">
        <v>64</v>
      </c>
      <c r="E480" s="13">
        <v>54115968.270000003</v>
      </c>
      <c r="F480" s="13">
        <v>19789628.039999999</v>
      </c>
      <c r="G480" s="13">
        <v>18369214.5</v>
      </c>
    </row>
    <row r="481" spans="1:7">
      <c r="A481" s="11">
        <v>40</v>
      </c>
      <c r="B481" s="11" t="s">
        <v>40</v>
      </c>
      <c r="C481">
        <v>12</v>
      </c>
      <c r="D481" s="5" t="s">
        <v>65</v>
      </c>
      <c r="E481" s="13">
        <v>51737244.390000001</v>
      </c>
      <c r="F481" s="13">
        <v>18919754.280000001</v>
      </c>
      <c r="G481" s="13">
        <v>17561776.5</v>
      </c>
    </row>
    <row r="482" spans="1:7">
      <c r="A482" s="3">
        <v>41</v>
      </c>
      <c r="B482" s="4" t="s">
        <v>41</v>
      </c>
      <c r="C482">
        <v>1</v>
      </c>
      <c r="D482" s="5" t="s">
        <v>54</v>
      </c>
      <c r="E482" s="13">
        <v>6887235.4199999999</v>
      </c>
      <c r="F482" s="13">
        <v>1289277.18</v>
      </c>
      <c r="G482" s="13">
        <v>3015780.93</v>
      </c>
    </row>
    <row r="483" spans="1:7">
      <c r="A483" s="4">
        <v>41</v>
      </c>
      <c r="B483" s="4" t="s">
        <v>41</v>
      </c>
      <c r="C483">
        <v>2</v>
      </c>
      <c r="D483" s="5" t="s">
        <v>55</v>
      </c>
      <c r="E483" s="13">
        <v>7219150.3799999999</v>
      </c>
      <c r="F483" s="13">
        <v>1351411.02</v>
      </c>
      <c r="G483" s="13">
        <v>3161119.77</v>
      </c>
    </row>
    <row r="484" spans="1:7">
      <c r="A484" s="3">
        <v>41</v>
      </c>
      <c r="B484" s="4" t="s">
        <v>41</v>
      </c>
      <c r="C484">
        <v>3</v>
      </c>
      <c r="D484" s="5" t="s">
        <v>56</v>
      </c>
      <c r="E484" s="13">
        <v>6721277.9400000004</v>
      </c>
      <c r="F484" s="13">
        <v>1258210.26</v>
      </c>
      <c r="G484" s="13">
        <v>2943111.51</v>
      </c>
    </row>
    <row r="485" spans="1:7">
      <c r="A485" s="4">
        <v>41</v>
      </c>
      <c r="B485" s="4" t="s">
        <v>41</v>
      </c>
      <c r="C485">
        <v>4</v>
      </c>
      <c r="D485" s="5" t="s">
        <v>57</v>
      </c>
      <c r="E485" s="13">
        <v>6555320.46</v>
      </c>
      <c r="F485" s="13">
        <v>1227143.3400000001</v>
      </c>
      <c r="G485" s="13">
        <v>2870442.09</v>
      </c>
    </row>
    <row r="486" spans="1:7">
      <c r="A486" s="3">
        <v>41</v>
      </c>
      <c r="B486" s="4" t="s">
        <v>41</v>
      </c>
      <c r="C486">
        <v>5</v>
      </c>
      <c r="D486" s="5" t="s">
        <v>58</v>
      </c>
      <c r="E486" s="13">
        <v>6638299.2000000002</v>
      </c>
      <c r="F486" s="13">
        <v>1242676.8</v>
      </c>
      <c r="G486" s="13">
        <v>2906776.8</v>
      </c>
    </row>
    <row r="487" spans="1:7">
      <c r="A487" s="4">
        <v>41</v>
      </c>
      <c r="B487" s="4" t="s">
        <v>41</v>
      </c>
      <c r="C487">
        <v>6</v>
      </c>
      <c r="D487" s="5" t="s">
        <v>59</v>
      </c>
      <c r="E487" s="13">
        <v>6472341.7199999997</v>
      </c>
      <c r="F487" s="13">
        <v>1211609.8799999999</v>
      </c>
      <c r="G487" s="13">
        <v>2834107.38</v>
      </c>
    </row>
    <row r="488" spans="1:7">
      <c r="A488" s="3">
        <v>41</v>
      </c>
      <c r="B488" s="4" t="s">
        <v>41</v>
      </c>
      <c r="C488">
        <v>7</v>
      </c>
      <c r="D488" s="5" t="s">
        <v>60</v>
      </c>
      <c r="E488" s="13">
        <v>7302129.1200000001</v>
      </c>
      <c r="F488" s="13">
        <v>1366944.48</v>
      </c>
      <c r="G488" s="13">
        <v>3197454.48</v>
      </c>
    </row>
    <row r="489" spans="1:7">
      <c r="A489" s="4">
        <v>41</v>
      </c>
      <c r="B489" s="4" t="s">
        <v>41</v>
      </c>
      <c r="C489">
        <v>8</v>
      </c>
      <c r="D489" s="5" t="s">
        <v>61</v>
      </c>
      <c r="E489" s="13">
        <v>6472341.7199999997</v>
      </c>
      <c r="F489" s="13">
        <v>1211609.8799999999</v>
      </c>
      <c r="G489" s="13">
        <v>2834107.38</v>
      </c>
    </row>
    <row r="490" spans="1:7">
      <c r="A490" s="3">
        <v>41</v>
      </c>
      <c r="B490" s="4" t="s">
        <v>41</v>
      </c>
      <c r="C490">
        <v>9</v>
      </c>
      <c r="D490" s="5" t="s">
        <v>62</v>
      </c>
      <c r="E490" s="13">
        <v>6887235.4199999999</v>
      </c>
      <c r="F490" s="13">
        <v>1289277.18</v>
      </c>
      <c r="G490" s="13">
        <v>3015780.93</v>
      </c>
    </row>
    <row r="491" spans="1:7">
      <c r="A491" s="4">
        <v>41</v>
      </c>
      <c r="B491" s="4" t="s">
        <v>41</v>
      </c>
      <c r="C491">
        <v>10</v>
      </c>
      <c r="D491" s="5" t="s">
        <v>63</v>
      </c>
      <c r="E491" s="13">
        <v>7053192.9000000004</v>
      </c>
      <c r="F491" s="13">
        <v>1320344.1000000001</v>
      </c>
      <c r="G491" s="13">
        <v>3088450.35</v>
      </c>
    </row>
    <row r="492" spans="1:7">
      <c r="A492" s="3">
        <v>41</v>
      </c>
      <c r="B492" s="4" t="s">
        <v>41</v>
      </c>
      <c r="C492">
        <v>11</v>
      </c>
      <c r="D492" s="5" t="s">
        <v>64</v>
      </c>
      <c r="E492" s="13">
        <v>7551065.3399999999</v>
      </c>
      <c r="F492" s="13">
        <v>1413544.86</v>
      </c>
      <c r="G492" s="13">
        <v>3306458.61</v>
      </c>
    </row>
    <row r="493" spans="1:7">
      <c r="A493" s="11">
        <v>41</v>
      </c>
      <c r="B493" s="11" t="s">
        <v>41</v>
      </c>
      <c r="C493">
        <v>12</v>
      </c>
      <c r="D493" s="5" t="s">
        <v>65</v>
      </c>
      <c r="E493" s="13">
        <v>7219150.3799999999</v>
      </c>
      <c r="F493" s="13">
        <v>1351411.02</v>
      </c>
      <c r="G493" s="13">
        <v>3161119.77</v>
      </c>
    </row>
    <row r="494" spans="1:7">
      <c r="A494" s="3">
        <v>42</v>
      </c>
      <c r="B494" s="4" t="s">
        <v>42</v>
      </c>
      <c r="C494">
        <v>1</v>
      </c>
      <c r="D494" s="5" t="s">
        <v>54</v>
      </c>
      <c r="E494" s="13">
        <v>75185653.334999993</v>
      </c>
      <c r="F494" s="13">
        <v>25642290.579999998</v>
      </c>
      <c r="G494" s="13">
        <v>19993510.609999999</v>
      </c>
    </row>
    <row r="495" spans="1:7">
      <c r="A495" s="4">
        <v>42</v>
      </c>
      <c r="B495" s="4" t="s">
        <v>42</v>
      </c>
      <c r="C495">
        <v>2</v>
      </c>
      <c r="D495" s="5" t="s">
        <v>55</v>
      </c>
      <c r="E495" s="13">
        <v>78809058.314999998</v>
      </c>
      <c r="F495" s="13">
        <v>26878063.620000001</v>
      </c>
      <c r="G495" s="13">
        <v>20957053.289999999</v>
      </c>
    </row>
    <row r="496" spans="1:7">
      <c r="A496" s="3">
        <v>42</v>
      </c>
      <c r="B496" s="4" t="s">
        <v>42</v>
      </c>
      <c r="C496">
        <v>3</v>
      </c>
      <c r="D496" s="5" t="s">
        <v>56</v>
      </c>
      <c r="E496" s="13">
        <v>73373950.844999999</v>
      </c>
      <c r="F496" s="13">
        <v>25024404.059999999</v>
      </c>
      <c r="G496" s="13">
        <v>19511739.27</v>
      </c>
    </row>
    <row r="497" spans="1:7">
      <c r="A497" s="4">
        <v>42</v>
      </c>
      <c r="B497" s="4" t="s">
        <v>42</v>
      </c>
      <c r="C497">
        <v>4</v>
      </c>
      <c r="D497" s="5" t="s">
        <v>57</v>
      </c>
      <c r="E497" s="13">
        <v>71562248.355000004</v>
      </c>
      <c r="F497" s="13">
        <v>24406517.539999999</v>
      </c>
      <c r="G497" s="13">
        <v>19029967.93</v>
      </c>
    </row>
    <row r="498" spans="1:7">
      <c r="A498" s="3">
        <v>42</v>
      </c>
      <c r="B498" s="4" t="s">
        <v>42</v>
      </c>
      <c r="C498">
        <v>5</v>
      </c>
      <c r="D498" s="5" t="s">
        <v>58</v>
      </c>
      <c r="E498" s="13">
        <v>72468099.599999994</v>
      </c>
      <c r="F498" s="13">
        <v>24715460.800000001</v>
      </c>
      <c r="G498" s="13">
        <v>19270853.600000001</v>
      </c>
    </row>
    <row r="499" spans="1:7">
      <c r="A499" s="4">
        <v>42</v>
      </c>
      <c r="B499" s="4" t="s">
        <v>42</v>
      </c>
      <c r="C499">
        <v>6</v>
      </c>
      <c r="D499" s="5" t="s">
        <v>59</v>
      </c>
      <c r="E499" s="13">
        <v>70656397.109999999</v>
      </c>
      <c r="F499" s="13">
        <v>24097574.280000001</v>
      </c>
      <c r="G499" s="13">
        <v>18789082.260000002</v>
      </c>
    </row>
    <row r="500" spans="1:7">
      <c r="A500" s="3">
        <v>42</v>
      </c>
      <c r="B500" s="4" t="s">
        <v>42</v>
      </c>
      <c r="C500">
        <v>7</v>
      </c>
      <c r="D500" s="5" t="s">
        <v>60</v>
      </c>
      <c r="E500" s="13">
        <v>79714909.560000002</v>
      </c>
      <c r="F500" s="13">
        <v>27187006.879999999</v>
      </c>
      <c r="G500" s="13">
        <v>21197938.960000001</v>
      </c>
    </row>
    <row r="501" spans="1:7">
      <c r="A501" s="4">
        <v>42</v>
      </c>
      <c r="B501" s="4" t="s">
        <v>42</v>
      </c>
      <c r="C501">
        <v>8</v>
      </c>
      <c r="D501" s="5" t="s">
        <v>61</v>
      </c>
      <c r="E501" s="13">
        <v>70656397.109999999</v>
      </c>
      <c r="F501" s="13">
        <v>24097574.280000001</v>
      </c>
      <c r="G501" s="13">
        <v>18789082.260000002</v>
      </c>
    </row>
    <row r="502" spans="1:7">
      <c r="A502" s="3">
        <v>42</v>
      </c>
      <c r="B502" s="4" t="s">
        <v>42</v>
      </c>
      <c r="C502">
        <v>9</v>
      </c>
      <c r="D502" s="5" t="s">
        <v>62</v>
      </c>
      <c r="E502" s="13">
        <v>75185653.334999993</v>
      </c>
      <c r="F502" s="13">
        <v>25642290.579999998</v>
      </c>
      <c r="G502" s="13">
        <v>19993510.609999999</v>
      </c>
    </row>
    <row r="503" spans="1:7">
      <c r="A503" s="4">
        <v>42</v>
      </c>
      <c r="B503" s="4" t="s">
        <v>42</v>
      </c>
      <c r="C503">
        <v>10</v>
      </c>
      <c r="D503" s="5" t="s">
        <v>63</v>
      </c>
      <c r="E503" s="13">
        <v>76997355.825000003</v>
      </c>
      <c r="F503" s="13">
        <v>26260177.100000001</v>
      </c>
      <c r="G503" s="13">
        <v>20475281.949999999</v>
      </c>
    </row>
    <row r="504" spans="1:7">
      <c r="A504" s="3">
        <v>42</v>
      </c>
      <c r="B504" s="4" t="s">
        <v>42</v>
      </c>
      <c r="C504">
        <v>11</v>
      </c>
      <c r="D504" s="5" t="s">
        <v>64</v>
      </c>
      <c r="E504" s="13">
        <v>82432463.295000002</v>
      </c>
      <c r="F504" s="13">
        <v>28113836.66</v>
      </c>
      <c r="G504" s="13">
        <v>21920595.969999999</v>
      </c>
    </row>
    <row r="505" spans="1:7">
      <c r="A505" s="11">
        <v>42</v>
      </c>
      <c r="B505" s="11" t="s">
        <v>42</v>
      </c>
      <c r="C505">
        <v>12</v>
      </c>
      <c r="D505" s="5" t="s">
        <v>65</v>
      </c>
      <c r="E505" s="13">
        <v>78809058.314999998</v>
      </c>
      <c r="F505" s="13">
        <v>26878063.620000001</v>
      </c>
      <c r="G505" s="13">
        <v>20957053.289999999</v>
      </c>
    </row>
    <row r="506" spans="1:7">
      <c r="A506" s="3">
        <v>43</v>
      </c>
      <c r="B506" s="4" t="s">
        <v>43</v>
      </c>
      <c r="C506">
        <v>1</v>
      </c>
      <c r="D506" s="5" t="s">
        <v>54</v>
      </c>
      <c r="E506" s="13">
        <v>234166004.28</v>
      </c>
      <c r="F506" s="13">
        <v>55868677.799999997</v>
      </c>
      <c r="G506" s="13">
        <v>59422053.880000003</v>
      </c>
    </row>
    <row r="507" spans="1:7">
      <c r="A507" s="4">
        <v>43</v>
      </c>
      <c r="B507" s="4" t="s">
        <v>43</v>
      </c>
      <c r="C507">
        <v>2</v>
      </c>
      <c r="D507" s="5" t="s">
        <v>55</v>
      </c>
      <c r="E507" s="13">
        <v>245451112.91999999</v>
      </c>
      <c r="F507" s="13">
        <v>58561144.200000003</v>
      </c>
      <c r="G507" s="13">
        <v>62285767.32</v>
      </c>
    </row>
    <row r="508" spans="1:7">
      <c r="A508" s="3">
        <v>43</v>
      </c>
      <c r="B508" s="4" t="s">
        <v>43</v>
      </c>
      <c r="C508">
        <v>3</v>
      </c>
      <c r="D508" s="5" t="s">
        <v>56</v>
      </c>
      <c r="E508" s="13">
        <v>228523449.96000001</v>
      </c>
      <c r="F508" s="13">
        <v>54522444.600000001</v>
      </c>
      <c r="G508" s="13">
        <v>57990197.159999996</v>
      </c>
    </row>
    <row r="509" spans="1:7">
      <c r="A509" s="4">
        <v>43</v>
      </c>
      <c r="B509" s="4" t="s">
        <v>43</v>
      </c>
      <c r="C509">
        <v>4</v>
      </c>
      <c r="D509" s="5" t="s">
        <v>57</v>
      </c>
      <c r="E509" s="13">
        <v>222880895.63999999</v>
      </c>
      <c r="F509" s="13">
        <v>53176211.399999999</v>
      </c>
      <c r="G509" s="13">
        <v>56558340.439999998</v>
      </c>
    </row>
    <row r="510" spans="1:7">
      <c r="A510" s="3">
        <v>43</v>
      </c>
      <c r="B510" s="4" t="s">
        <v>43</v>
      </c>
      <c r="C510">
        <v>5</v>
      </c>
      <c r="D510" s="5" t="s">
        <v>58</v>
      </c>
      <c r="E510" s="13">
        <v>225702172.80000001</v>
      </c>
      <c r="F510" s="13">
        <v>53849328</v>
      </c>
      <c r="G510" s="13">
        <v>57274268.799999997</v>
      </c>
    </row>
    <row r="511" spans="1:7">
      <c r="A511" s="4">
        <v>43</v>
      </c>
      <c r="B511" s="4" t="s">
        <v>43</v>
      </c>
      <c r="C511">
        <v>6</v>
      </c>
      <c r="D511" s="5" t="s">
        <v>59</v>
      </c>
      <c r="E511" s="13">
        <v>220059618.47999999</v>
      </c>
      <c r="F511" s="13">
        <v>52503094.799999997</v>
      </c>
      <c r="G511" s="13">
        <v>55842412.079999998</v>
      </c>
    </row>
    <row r="512" spans="1:7">
      <c r="A512" s="3">
        <v>43</v>
      </c>
      <c r="B512" s="4" t="s">
        <v>43</v>
      </c>
      <c r="C512">
        <v>7</v>
      </c>
      <c r="D512" s="5" t="s">
        <v>60</v>
      </c>
      <c r="E512" s="13">
        <v>248272390.08000001</v>
      </c>
      <c r="F512" s="13">
        <v>59234260.799999997</v>
      </c>
      <c r="G512" s="13">
        <v>63001695.68</v>
      </c>
    </row>
    <row r="513" spans="1:7">
      <c r="A513" s="4">
        <v>43</v>
      </c>
      <c r="B513" s="4" t="s">
        <v>43</v>
      </c>
      <c r="C513">
        <v>8</v>
      </c>
      <c r="D513" s="5" t="s">
        <v>61</v>
      </c>
      <c r="E513" s="13">
        <v>220059618.47999999</v>
      </c>
      <c r="F513" s="13">
        <v>52503094.799999997</v>
      </c>
      <c r="G513" s="13">
        <v>55842412.079999998</v>
      </c>
    </row>
    <row r="514" spans="1:7">
      <c r="A514" s="3">
        <v>43</v>
      </c>
      <c r="B514" s="4" t="s">
        <v>43</v>
      </c>
      <c r="C514">
        <v>9</v>
      </c>
      <c r="D514" s="5" t="s">
        <v>62</v>
      </c>
      <c r="E514" s="13">
        <v>234166004.28</v>
      </c>
      <c r="F514" s="13">
        <v>55868677.799999997</v>
      </c>
      <c r="G514" s="13">
        <v>59422053.880000003</v>
      </c>
    </row>
    <row r="515" spans="1:7">
      <c r="A515" s="4">
        <v>43</v>
      </c>
      <c r="B515" s="4" t="s">
        <v>43</v>
      </c>
      <c r="C515">
        <v>10</v>
      </c>
      <c r="D515" s="5" t="s">
        <v>63</v>
      </c>
      <c r="E515" s="13">
        <v>239808558.59999999</v>
      </c>
      <c r="F515" s="13">
        <v>57214911</v>
      </c>
      <c r="G515" s="13">
        <v>60853910.600000001</v>
      </c>
    </row>
    <row r="516" spans="1:7">
      <c r="A516" s="3">
        <v>43</v>
      </c>
      <c r="B516" s="4" t="s">
        <v>43</v>
      </c>
      <c r="C516">
        <v>11</v>
      </c>
      <c r="D516" s="5" t="s">
        <v>64</v>
      </c>
      <c r="E516" s="13">
        <v>256736221.56</v>
      </c>
      <c r="F516" s="13">
        <v>61253610.600000001</v>
      </c>
      <c r="G516" s="13">
        <v>65149480.759999998</v>
      </c>
    </row>
    <row r="517" spans="1:7">
      <c r="A517" s="11">
        <v>43</v>
      </c>
      <c r="B517" s="11" t="s">
        <v>43</v>
      </c>
      <c r="C517">
        <v>12</v>
      </c>
      <c r="D517" s="5" t="s">
        <v>65</v>
      </c>
      <c r="E517" s="13">
        <v>245451112.91999999</v>
      </c>
      <c r="F517" s="13">
        <v>58561144.200000003</v>
      </c>
      <c r="G517" s="13">
        <v>62285767.32</v>
      </c>
    </row>
    <row r="518" spans="1:7">
      <c r="A518" s="3">
        <v>44</v>
      </c>
      <c r="B518" s="4" t="s">
        <v>44</v>
      </c>
      <c r="C518">
        <v>1</v>
      </c>
      <c r="D518" s="5" t="s">
        <v>54</v>
      </c>
      <c r="E518" s="13">
        <v>21235642.545000002</v>
      </c>
      <c r="F518" s="13">
        <v>12033253.68</v>
      </c>
      <c r="G518" s="13">
        <v>8042082.4800000004</v>
      </c>
    </row>
    <row r="519" spans="1:7">
      <c r="A519" s="4">
        <v>44</v>
      </c>
      <c r="B519" s="4" t="s">
        <v>44</v>
      </c>
      <c r="C519">
        <v>2</v>
      </c>
      <c r="D519" s="5" t="s">
        <v>55</v>
      </c>
      <c r="E519" s="13">
        <v>22259047.004999999</v>
      </c>
      <c r="F519" s="13">
        <v>12613169.52</v>
      </c>
      <c r="G519" s="13">
        <v>8429652.7200000007</v>
      </c>
    </row>
    <row r="520" spans="1:7">
      <c r="A520" s="3">
        <v>44</v>
      </c>
      <c r="B520" s="4" t="s">
        <v>44</v>
      </c>
      <c r="C520">
        <v>3</v>
      </c>
      <c r="D520" s="5" t="s">
        <v>56</v>
      </c>
      <c r="E520" s="13">
        <v>20723940.315000001</v>
      </c>
      <c r="F520" s="13">
        <v>11743295.76</v>
      </c>
      <c r="G520" s="13">
        <v>7848297.3600000003</v>
      </c>
    </row>
    <row r="521" spans="1:7">
      <c r="A521" s="4">
        <v>44</v>
      </c>
      <c r="B521" s="4" t="s">
        <v>44</v>
      </c>
      <c r="C521">
        <v>4</v>
      </c>
      <c r="D521" s="5" t="s">
        <v>57</v>
      </c>
      <c r="E521" s="13">
        <v>20212238.085000001</v>
      </c>
      <c r="F521" s="13">
        <v>11453337.84</v>
      </c>
      <c r="G521" s="13">
        <v>7654512.2400000002</v>
      </c>
    </row>
    <row r="522" spans="1:7">
      <c r="A522" s="3">
        <v>44</v>
      </c>
      <c r="B522" s="4" t="s">
        <v>44</v>
      </c>
      <c r="C522">
        <v>5</v>
      </c>
      <c r="D522" s="5" t="s">
        <v>58</v>
      </c>
      <c r="E522" s="13">
        <v>20468089.199999999</v>
      </c>
      <c r="F522" s="13">
        <v>11598316.800000001</v>
      </c>
      <c r="G522" s="13">
        <v>7751404.7999999998</v>
      </c>
    </row>
    <row r="523" spans="1:7">
      <c r="A523" s="4">
        <v>44</v>
      </c>
      <c r="B523" s="4" t="s">
        <v>44</v>
      </c>
      <c r="C523">
        <v>6</v>
      </c>
      <c r="D523" s="5" t="s">
        <v>59</v>
      </c>
      <c r="E523" s="13">
        <v>19956386.969999999</v>
      </c>
      <c r="F523" s="13">
        <v>11308358.880000001</v>
      </c>
      <c r="G523" s="13">
        <v>7557619.6799999997</v>
      </c>
    </row>
    <row r="524" spans="1:7">
      <c r="A524" s="3">
        <v>44</v>
      </c>
      <c r="B524" s="4" t="s">
        <v>44</v>
      </c>
      <c r="C524">
        <v>7</v>
      </c>
      <c r="D524" s="5" t="s">
        <v>60</v>
      </c>
      <c r="E524" s="13">
        <v>22514898.120000001</v>
      </c>
      <c r="F524" s="13">
        <v>12758148.48</v>
      </c>
      <c r="G524" s="13">
        <v>8526545.2799999993</v>
      </c>
    </row>
    <row r="525" spans="1:7">
      <c r="A525" s="4">
        <v>44</v>
      </c>
      <c r="B525" s="4" t="s">
        <v>44</v>
      </c>
      <c r="C525">
        <v>8</v>
      </c>
      <c r="D525" s="5" t="s">
        <v>61</v>
      </c>
      <c r="E525" s="13">
        <v>19956386.969999999</v>
      </c>
      <c r="F525" s="13">
        <v>11308358.880000001</v>
      </c>
      <c r="G525" s="13">
        <v>7557619.6799999997</v>
      </c>
    </row>
    <row r="526" spans="1:7">
      <c r="A526" s="3">
        <v>44</v>
      </c>
      <c r="B526" s="4" t="s">
        <v>44</v>
      </c>
      <c r="C526">
        <v>9</v>
      </c>
      <c r="D526" s="5" t="s">
        <v>62</v>
      </c>
      <c r="E526" s="13">
        <v>21235642.545000002</v>
      </c>
      <c r="F526" s="13">
        <v>12033253.68</v>
      </c>
      <c r="G526" s="13">
        <v>8042082.4800000004</v>
      </c>
    </row>
    <row r="527" spans="1:7">
      <c r="A527" s="4">
        <v>44</v>
      </c>
      <c r="B527" s="4" t="s">
        <v>44</v>
      </c>
      <c r="C527">
        <v>10</v>
      </c>
      <c r="D527" s="5" t="s">
        <v>63</v>
      </c>
      <c r="E527" s="13">
        <v>21747344.774999999</v>
      </c>
      <c r="F527" s="13">
        <v>12323211.6</v>
      </c>
      <c r="G527" s="13">
        <v>8235867.5999999996</v>
      </c>
    </row>
    <row r="528" spans="1:7">
      <c r="A528" s="3">
        <v>44</v>
      </c>
      <c r="B528" s="4" t="s">
        <v>44</v>
      </c>
      <c r="C528">
        <v>11</v>
      </c>
      <c r="D528" s="5" t="s">
        <v>64</v>
      </c>
      <c r="E528" s="13">
        <v>23282451.465</v>
      </c>
      <c r="F528" s="13">
        <v>13193085.359999999</v>
      </c>
      <c r="G528" s="13">
        <v>8817222.9600000009</v>
      </c>
    </row>
    <row r="529" spans="1:7">
      <c r="A529" s="11">
        <v>44</v>
      </c>
      <c r="B529" s="11" t="s">
        <v>44</v>
      </c>
      <c r="C529">
        <v>12</v>
      </c>
      <c r="D529" s="5" t="s">
        <v>65</v>
      </c>
      <c r="E529" s="13">
        <v>22259047.004999999</v>
      </c>
      <c r="F529" s="13">
        <v>12613169.52</v>
      </c>
      <c r="G529" s="13">
        <v>8429652.7200000007</v>
      </c>
    </row>
    <row r="530" spans="1:7">
      <c r="A530" s="3">
        <v>45</v>
      </c>
      <c r="B530" s="4" t="s">
        <v>45</v>
      </c>
      <c r="C530">
        <v>1</v>
      </c>
      <c r="D530" s="5" t="s">
        <v>54</v>
      </c>
      <c r="E530" s="13">
        <v>5739362.8499999996</v>
      </c>
      <c r="F530" s="13">
        <v>573012.07999999996</v>
      </c>
      <c r="G530" s="13">
        <v>781869.13</v>
      </c>
    </row>
    <row r="531" spans="1:7">
      <c r="A531" s="4">
        <v>45</v>
      </c>
      <c r="B531" s="4" t="s">
        <v>45</v>
      </c>
      <c r="C531">
        <v>2</v>
      </c>
      <c r="D531" s="5" t="s">
        <v>55</v>
      </c>
      <c r="E531" s="13">
        <v>6015958.6500000004</v>
      </c>
      <c r="F531" s="13">
        <v>600627.12</v>
      </c>
      <c r="G531" s="13">
        <v>819549.57</v>
      </c>
    </row>
    <row r="532" spans="1:7">
      <c r="A532" s="3">
        <v>45</v>
      </c>
      <c r="B532" s="4" t="s">
        <v>45</v>
      </c>
      <c r="C532">
        <v>3</v>
      </c>
      <c r="D532" s="5" t="s">
        <v>56</v>
      </c>
      <c r="E532" s="13">
        <v>5601064.9500000002</v>
      </c>
      <c r="F532" s="13">
        <v>559204.56000000006</v>
      </c>
      <c r="G532" s="13">
        <v>763028.91</v>
      </c>
    </row>
    <row r="533" spans="1:7">
      <c r="A533" s="4">
        <v>45</v>
      </c>
      <c r="B533" s="4" t="s">
        <v>45</v>
      </c>
      <c r="C533">
        <v>4</v>
      </c>
      <c r="D533" s="5" t="s">
        <v>57</v>
      </c>
      <c r="E533" s="13">
        <v>5462767.0499999998</v>
      </c>
      <c r="F533" s="13">
        <v>545397.04</v>
      </c>
      <c r="G533" s="13">
        <v>744188.69</v>
      </c>
    </row>
    <row r="534" spans="1:7">
      <c r="A534" s="3">
        <v>45</v>
      </c>
      <c r="B534" s="4" t="s">
        <v>45</v>
      </c>
      <c r="C534">
        <v>5</v>
      </c>
      <c r="D534" s="5" t="s">
        <v>58</v>
      </c>
      <c r="E534" s="13">
        <v>5531916</v>
      </c>
      <c r="F534" s="13">
        <v>552300.80000000005</v>
      </c>
      <c r="G534" s="13">
        <v>753608.8</v>
      </c>
    </row>
    <row r="535" spans="1:7">
      <c r="A535" s="4">
        <v>45</v>
      </c>
      <c r="B535" s="4" t="s">
        <v>45</v>
      </c>
      <c r="C535">
        <v>6</v>
      </c>
      <c r="D535" s="5" t="s">
        <v>59</v>
      </c>
      <c r="E535" s="13">
        <v>5393618.0999999996</v>
      </c>
      <c r="F535" s="13">
        <v>538493.28</v>
      </c>
      <c r="G535" s="13">
        <v>734768.58</v>
      </c>
    </row>
    <row r="536" spans="1:7">
      <c r="A536" s="3">
        <v>45</v>
      </c>
      <c r="B536" s="4" t="s">
        <v>45</v>
      </c>
      <c r="C536">
        <v>7</v>
      </c>
      <c r="D536" s="5" t="s">
        <v>60</v>
      </c>
      <c r="E536" s="13">
        <v>6085107.5999999996</v>
      </c>
      <c r="F536" s="13">
        <v>607530.88</v>
      </c>
      <c r="G536" s="13">
        <v>828969.68</v>
      </c>
    </row>
    <row r="537" spans="1:7">
      <c r="A537" s="4">
        <v>45</v>
      </c>
      <c r="B537" s="4" t="s">
        <v>45</v>
      </c>
      <c r="C537">
        <v>8</v>
      </c>
      <c r="D537" s="5" t="s">
        <v>61</v>
      </c>
      <c r="E537" s="13">
        <v>5393618.0999999996</v>
      </c>
      <c r="F537" s="13">
        <v>538493.28</v>
      </c>
      <c r="G537" s="13">
        <v>734768.58</v>
      </c>
    </row>
    <row r="538" spans="1:7">
      <c r="A538" s="3">
        <v>45</v>
      </c>
      <c r="B538" s="4" t="s">
        <v>45</v>
      </c>
      <c r="C538">
        <v>9</v>
      </c>
      <c r="D538" s="5" t="s">
        <v>62</v>
      </c>
      <c r="E538" s="13">
        <v>5739362.8499999996</v>
      </c>
      <c r="F538" s="13">
        <v>573012.07999999996</v>
      </c>
      <c r="G538" s="13">
        <v>781869.13</v>
      </c>
    </row>
    <row r="539" spans="1:7">
      <c r="A539" s="4">
        <v>45</v>
      </c>
      <c r="B539" s="4" t="s">
        <v>45</v>
      </c>
      <c r="C539">
        <v>10</v>
      </c>
      <c r="D539" s="5" t="s">
        <v>63</v>
      </c>
      <c r="E539" s="13">
        <v>5877660.75</v>
      </c>
      <c r="F539" s="13">
        <v>586819.6</v>
      </c>
      <c r="G539" s="13">
        <v>800709.35</v>
      </c>
    </row>
    <row r="540" spans="1:7">
      <c r="A540" s="3">
        <v>45</v>
      </c>
      <c r="B540" s="4" t="s">
        <v>45</v>
      </c>
      <c r="C540">
        <v>11</v>
      </c>
      <c r="D540" s="5" t="s">
        <v>64</v>
      </c>
      <c r="E540" s="13">
        <v>6292554.4500000002</v>
      </c>
      <c r="F540" s="13">
        <v>628242.16</v>
      </c>
      <c r="G540" s="13">
        <v>857230.01</v>
      </c>
    </row>
    <row r="541" spans="1:7">
      <c r="A541" s="11">
        <v>45</v>
      </c>
      <c r="B541" s="11" t="s">
        <v>45</v>
      </c>
      <c r="C541">
        <v>12</v>
      </c>
      <c r="D541" s="5" t="s">
        <v>65</v>
      </c>
      <c r="E541" s="13">
        <v>6015958.6500000004</v>
      </c>
      <c r="F541" s="13">
        <v>600627.12</v>
      </c>
      <c r="G541" s="13">
        <v>819549.57</v>
      </c>
    </row>
    <row r="542" spans="1:7">
      <c r="A542" s="3">
        <v>46</v>
      </c>
      <c r="B542" s="4" t="s">
        <v>46</v>
      </c>
      <c r="C542">
        <v>1</v>
      </c>
      <c r="D542" s="5" t="s">
        <v>54</v>
      </c>
      <c r="E542" s="13">
        <v>85133882.275000006</v>
      </c>
      <c r="F542" s="13">
        <v>31802170.440000001</v>
      </c>
      <c r="G542" s="13">
        <v>22785900.359999999</v>
      </c>
    </row>
    <row r="543" spans="1:7">
      <c r="A543" s="4">
        <v>46</v>
      </c>
      <c r="B543" s="4" t="s">
        <v>46</v>
      </c>
      <c r="C543">
        <v>2</v>
      </c>
      <c r="D543" s="5" t="s">
        <v>55</v>
      </c>
      <c r="E543" s="13">
        <v>89236719.974999994</v>
      </c>
      <c r="F543" s="13">
        <v>33334805.16</v>
      </c>
      <c r="G543" s="13">
        <v>23884016.039999999</v>
      </c>
    </row>
    <row r="544" spans="1:7">
      <c r="A544" s="3">
        <v>46</v>
      </c>
      <c r="B544" s="4" t="s">
        <v>46</v>
      </c>
      <c r="C544">
        <v>3</v>
      </c>
      <c r="D544" s="5" t="s">
        <v>56</v>
      </c>
      <c r="E544" s="13">
        <v>83082463.424999997</v>
      </c>
      <c r="F544" s="13">
        <v>31035853.079999998</v>
      </c>
      <c r="G544" s="13">
        <v>22236842.52</v>
      </c>
    </row>
    <row r="545" spans="1:7">
      <c r="A545" s="4">
        <v>46</v>
      </c>
      <c r="B545" s="4" t="s">
        <v>46</v>
      </c>
      <c r="C545">
        <v>4</v>
      </c>
      <c r="D545" s="5" t="s">
        <v>57</v>
      </c>
      <c r="E545" s="13">
        <v>81031044.575000003</v>
      </c>
      <c r="F545" s="13">
        <v>30269535.719999999</v>
      </c>
      <c r="G545" s="13">
        <v>21687784.68</v>
      </c>
    </row>
    <row r="546" spans="1:7">
      <c r="A546" s="3">
        <v>46</v>
      </c>
      <c r="B546" s="4" t="s">
        <v>46</v>
      </c>
      <c r="C546">
        <v>5</v>
      </c>
      <c r="D546" s="5" t="s">
        <v>58</v>
      </c>
      <c r="E546" s="13">
        <v>82056754</v>
      </c>
      <c r="F546" s="13">
        <v>30652694.399999999</v>
      </c>
      <c r="G546" s="13">
        <v>21962313.600000001</v>
      </c>
    </row>
    <row r="547" spans="1:7">
      <c r="A547" s="4">
        <v>46</v>
      </c>
      <c r="B547" s="4" t="s">
        <v>46</v>
      </c>
      <c r="C547">
        <v>6</v>
      </c>
      <c r="D547" s="5" t="s">
        <v>59</v>
      </c>
      <c r="E547" s="13">
        <v>80005335.150000006</v>
      </c>
      <c r="F547" s="13">
        <v>29886377.039999999</v>
      </c>
      <c r="G547" s="13">
        <v>21413255.760000002</v>
      </c>
    </row>
    <row r="548" spans="1:7">
      <c r="A548" s="3">
        <v>46</v>
      </c>
      <c r="B548" s="4" t="s">
        <v>46</v>
      </c>
      <c r="C548">
        <v>7</v>
      </c>
      <c r="D548" s="5" t="s">
        <v>60</v>
      </c>
      <c r="E548" s="13">
        <v>90262429.400000006</v>
      </c>
      <c r="F548" s="13">
        <v>33717963.840000004</v>
      </c>
      <c r="G548" s="13">
        <v>24158544.960000001</v>
      </c>
    </row>
    <row r="549" spans="1:7">
      <c r="A549" s="4">
        <v>46</v>
      </c>
      <c r="B549" s="4" t="s">
        <v>46</v>
      </c>
      <c r="C549">
        <v>8</v>
      </c>
      <c r="D549" s="5" t="s">
        <v>61</v>
      </c>
      <c r="E549" s="13">
        <v>80005335.150000006</v>
      </c>
      <c r="F549" s="13">
        <v>29886377.039999999</v>
      </c>
      <c r="G549" s="13">
        <v>21413255.760000002</v>
      </c>
    </row>
    <row r="550" spans="1:7">
      <c r="A550" s="3">
        <v>46</v>
      </c>
      <c r="B550" s="4" t="s">
        <v>46</v>
      </c>
      <c r="C550">
        <v>9</v>
      </c>
      <c r="D550" s="5" t="s">
        <v>62</v>
      </c>
      <c r="E550" s="13">
        <v>85133882.275000006</v>
      </c>
      <c r="F550" s="13">
        <v>31802170.440000001</v>
      </c>
      <c r="G550" s="13">
        <v>22785900.359999999</v>
      </c>
    </row>
    <row r="551" spans="1:7">
      <c r="A551" s="4">
        <v>46</v>
      </c>
      <c r="B551" s="4" t="s">
        <v>46</v>
      </c>
      <c r="C551">
        <v>10</v>
      </c>
      <c r="D551" s="5" t="s">
        <v>63</v>
      </c>
      <c r="E551" s="13">
        <v>87185301.125</v>
      </c>
      <c r="F551" s="13">
        <v>32568487.800000001</v>
      </c>
      <c r="G551" s="13">
        <v>23334958.199999999</v>
      </c>
    </row>
    <row r="552" spans="1:7">
      <c r="A552" s="3">
        <v>46</v>
      </c>
      <c r="B552" s="4" t="s">
        <v>46</v>
      </c>
      <c r="C552">
        <v>11</v>
      </c>
      <c r="D552" s="5" t="s">
        <v>64</v>
      </c>
      <c r="E552" s="13">
        <v>93339557.674999997</v>
      </c>
      <c r="F552" s="13">
        <v>34867439.880000003</v>
      </c>
      <c r="G552" s="13">
        <v>24982131.719999999</v>
      </c>
    </row>
    <row r="553" spans="1:7">
      <c r="A553" s="11">
        <v>46</v>
      </c>
      <c r="B553" s="11" t="s">
        <v>46</v>
      </c>
      <c r="C553">
        <v>12</v>
      </c>
      <c r="D553" s="5" t="s">
        <v>65</v>
      </c>
      <c r="E553" s="13">
        <v>89236719.974999994</v>
      </c>
      <c r="F553" s="13">
        <v>33334805.16</v>
      </c>
      <c r="G553" s="13">
        <v>23884016.039999999</v>
      </c>
    </row>
    <row r="554" spans="1:7">
      <c r="A554" s="3">
        <v>47</v>
      </c>
      <c r="B554" s="4" t="s">
        <v>47</v>
      </c>
      <c r="C554">
        <v>1</v>
      </c>
      <c r="D554" s="5" t="s">
        <v>54</v>
      </c>
      <c r="E554" s="13">
        <v>62367742.969999999</v>
      </c>
      <c r="F554" s="13">
        <v>11030482.539999999</v>
      </c>
      <c r="G554" s="13">
        <v>13291775.210000001</v>
      </c>
    </row>
    <row r="555" spans="1:7">
      <c r="A555" s="4">
        <v>47</v>
      </c>
      <c r="B555" s="4" t="s">
        <v>47</v>
      </c>
      <c r="C555">
        <v>2</v>
      </c>
      <c r="D555" s="5" t="s">
        <v>55</v>
      </c>
      <c r="E555" s="13">
        <v>65373417.329999998</v>
      </c>
      <c r="F555" s="13">
        <v>11562072.060000001</v>
      </c>
      <c r="G555" s="13">
        <v>13932342.689999999</v>
      </c>
    </row>
    <row r="556" spans="1:7">
      <c r="A556" s="3">
        <v>47</v>
      </c>
      <c r="B556" s="4" t="s">
        <v>47</v>
      </c>
      <c r="C556">
        <v>3</v>
      </c>
      <c r="D556" s="5" t="s">
        <v>56</v>
      </c>
      <c r="E556" s="13">
        <v>60864905.789999999</v>
      </c>
      <c r="F556" s="13">
        <v>10764687.779999999</v>
      </c>
      <c r="G556" s="13">
        <v>12971491.470000001</v>
      </c>
    </row>
    <row r="557" spans="1:7">
      <c r="A557" s="4">
        <v>47</v>
      </c>
      <c r="B557" s="4" t="s">
        <v>47</v>
      </c>
      <c r="C557">
        <v>4</v>
      </c>
      <c r="D557" s="5" t="s">
        <v>57</v>
      </c>
      <c r="E557" s="13">
        <v>59362068.609999999</v>
      </c>
      <c r="F557" s="13">
        <v>10498893.02</v>
      </c>
      <c r="G557" s="13">
        <v>12651207.73</v>
      </c>
    </row>
    <row r="558" spans="1:7">
      <c r="A558" s="3">
        <v>47</v>
      </c>
      <c r="B558" s="4" t="s">
        <v>47</v>
      </c>
      <c r="C558">
        <v>5</v>
      </c>
      <c r="D558" s="5" t="s">
        <v>58</v>
      </c>
      <c r="E558" s="13">
        <v>60113487.200000003</v>
      </c>
      <c r="F558" s="13">
        <v>10631790.4</v>
      </c>
      <c r="G558" s="13">
        <v>12811349.6</v>
      </c>
    </row>
    <row r="559" spans="1:7">
      <c r="A559" s="4">
        <v>47</v>
      </c>
      <c r="B559" s="4" t="s">
        <v>47</v>
      </c>
      <c r="C559">
        <v>6</v>
      </c>
      <c r="D559" s="5" t="s">
        <v>59</v>
      </c>
      <c r="E559" s="13">
        <v>58610650.020000003</v>
      </c>
      <c r="F559" s="13">
        <v>10365995.640000001</v>
      </c>
      <c r="G559" s="13">
        <v>12491065.859999999</v>
      </c>
    </row>
    <row r="560" spans="1:7">
      <c r="A560" s="3">
        <v>47</v>
      </c>
      <c r="B560" s="4" t="s">
        <v>47</v>
      </c>
      <c r="C560">
        <v>7</v>
      </c>
      <c r="D560" s="5" t="s">
        <v>60</v>
      </c>
      <c r="E560" s="13">
        <v>66124835.920000002</v>
      </c>
      <c r="F560" s="13">
        <v>11694969.439999999</v>
      </c>
      <c r="G560" s="13">
        <v>14092484.560000001</v>
      </c>
    </row>
    <row r="561" spans="1:7">
      <c r="A561" s="4">
        <v>47</v>
      </c>
      <c r="B561" s="4" t="s">
        <v>47</v>
      </c>
      <c r="C561">
        <v>8</v>
      </c>
      <c r="D561" s="5" t="s">
        <v>61</v>
      </c>
      <c r="E561" s="13">
        <v>58610650.020000003</v>
      </c>
      <c r="F561" s="13">
        <v>10365995.640000001</v>
      </c>
      <c r="G561" s="13">
        <v>12491065.859999999</v>
      </c>
    </row>
    <row r="562" spans="1:7">
      <c r="A562" s="3">
        <v>47</v>
      </c>
      <c r="B562" s="4" t="s">
        <v>47</v>
      </c>
      <c r="C562">
        <v>9</v>
      </c>
      <c r="D562" s="5" t="s">
        <v>62</v>
      </c>
      <c r="E562" s="13">
        <v>62367742.969999999</v>
      </c>
      <c r="F562" s="13">
        <v>11030482.539999999</v>
      </c>
      <c r="G562" s="13">
        <v>13291775.210000001</v>
      </c>
    </row>
    <row r="563" spans="1:7">
      <c r="A563" s="4">
        <v>47</v>
      </c>
      <c r="B563" s="4" t="s">
        <v>47</v>
      </c>
      <c r="C563">
        <v>10</v>
      </c>
      <c r="D563" s="5" t="s">
        <v>63</v>
      </c>
      <c r="E563" s="13">
        <v>63870580.149999999</v>
      </c>
      <c r="F563" s="13">
        <v>11296277.300000001</v>
      </c>
      <c r="G563" s="13">
        <v>13612058.949999999</v>
      </c>
    </row>
    <row r="564" spans="1:7">
      <c r="A564" s="3">
        <v>47</v>
      </c>
      <c r="B564" s="4" t="s">
        <v>47</v>
      </c>
      <c r="C564">
        <v>11</v>
      </c>
      <c r="D564" s="5" t="s">
        <v>64</v>
      </c>
      <c r="E564" s="13">
        <v>68379091.689999998</v>
      </c>
      <c r="F564" s="13">
        <v>12093661.58</v>
      </c>
      <c r="G564" s="13">
        <v>14572910.17</v>
      </c>
    </row>
    <row r="565" spans="1:7">
      <c r="A565" s="11">
        <v>47</v>
      </c>
      <c r="B565" s="11" t="s">
        <v>47</v>
      </c>
      <c r="C565">
        <v>12</v>
      </c>
      <c r="D565" s="5" t="s">
        <v>65</v>
      </c>
      <c r="E565" s="13">
        <v>65373417.329999998</v>
      </c>
      <c r="F565" s="13">
        <v>11562072.060000001</v>
      </c>
      <c r="G565" s="13">
        <v>13932342.689999999</v>
      </c>
    </row>
    <row r="566" spans="1:7">
      <c r="A566" s="3">
        <v>48</v>
      </c>
      <c r="B566" s="4" t="s">
        <v>48</v>
      </c>
      <c r="C566">
        <v>1</v>
      </c>
      <c r="D566" s="5" t="s">
        <v>54</v>
      </c>
      <c r="E566" s="13">
        <v>19322521.594999999</v>
      </c>
      <c r="F566" s="13">
        <v>9741205.3599999994</v>
      </c>
      <c r="G566" s="13">
        <v>6701735.4000000004</v>
      </c>
    </row>
    <row r="567" spans="1:7">
      <c r="A567" s="4">
        <v>48</v>
      </c>
      <c r="B567" s="4" t="s">
        <v>48</v>
      </c>
      <c r="C567">
        <v>2</v>
      </c>
      <c r="D567" s="5" t="s">
        <v>55</v>
      </c>
      <c r="E567" s="13">
        <v>20253727.454999998</v>
      </c>
      <c r="F567" s="13">
        <v>10210661.039999999</v>
      </c>
      <c r="G567" s="13">
        <v>7024710.5999999996</v>
      </c>
    </row>
    <row r="568" spans="1:7">
      <c r="A568" s="3">
        <v>48</v>
      </c>
      <c r="B568" s="4" t="s">
        <v>48</v>
      </c>
      <c r="C568">
        <v>3</v>
      </c>
      <c r="D568" s="5" t="s">
        <v>56</v>
      </c>
      <c r="E568" s="13">
        <v>18856918.664999999</v>
      </c>
      <c r="F568" s="13">
        <v>9506477.5199999996</v>
      </c>
      <c r="G568" s="13">
        <v>6540247.7999999998</v>
      </c>
    </row>
    <row r="569" spans="1:7">
      <c r="A569" s="4">
        <v>48</v>
      </c>
      <c r="B569" s="4" t="s">
        <v>48</v>
      </c>
      <c r="C569">
        <v>4</v>
      </c>
      <c r="D569" s="5" t="s">
        <v>57</v>
      </c>
      <c r="E569" s="13">
        <v>18391315.734999999</v>
      </c>
      <c r="F569" s="13">
        <v>9271749.6799999997</v>
      </c>
      <c r="G569" s="13">
        <v>6378760.2000000002</v>
      </c>
    </row>
    <row r="570" spans="1:7">
      <c r="A570" s="3">
        <v>48</v>
      </c>
      <c r="B570" s="4" t="s">
        <v>48</v>
      </c>
      <c r="C570">
        <v>5</v>
      </c>
      <c r="D570" s="5" t="s">
        <v>58</v>
      </c>
      <c r="E570" s="13">
        <v>18624117.199999999</v>
      </c>
      <c r="F570" s="13">
        <v>9389113.5999999996</v>
      </c>
      <c r="G570" s="13">
        <v>6459504</v>
      </c>
    </row>
    <row r="571" spans="1:7">
      <c r="A571" s="4">
        <v>48</v>
      </c>
      <c r="B571" s="4" t="s">
        <v>48</v>
      </c>
      <c r="C571">
        <v>6</v>
      </c>
      <c r="D571" s="5" t="s">
        <v>59</v>
      </c>
      <c r="E571" s="13">
        <v>18158514.27</v>
      </c>
      <c r="F571" s="13">
        <v>9154385.7599999998</v>
      </c>
      <c r="G571" s="13">
        <v>6298016.4000000004</v>
      </c>
    </row>
    <row r="572" spans="1:7">
      <c r="A572" s="3">
        <v>48</v>
      </c>
      <c r="B572" s="4" t="s">
        <v>48</v>
      </c>
      <c r="C572">
        <v>7</v>
      </c>
      <c r="D572" s="5" t="s">
        <v>60</v>
      </c>
      <c r="E572" s="13">
        <v>20486528.920000002</v>
      </c>
      <c r="F572" s="13">
        <v>10328024.960000001</v>
      </c>
      <c r="G572" s="13">
        <v>7105454.4000000004</v>
      </c>
    </row>
    <row r="573" spans="1:7">
      <c r="A573" s="4">
        <v>48</v>
      </c>
      <c r="B573" s="4" t="s">
        <v>48</v>
      </c>
      <c r="C573">
        <v>8</v>
      </c>
      <c r="D573" s="5" t="s">
        <v>61</v>
      </c>
      <c r="E573" s="13">
        <v>18158514.27</v>
      </c>
      <c r="F573" s="13">
        <v>9154385.7599999998</v>
      </c>
      <c r="G573" s="13">
        <v>6298016.4000000004</v>
      </c>
    </row>
    <row r="574" spans="1:7">
      <c r="A574" s="3">
        <v>48</v>
      </c>
      <c r="B574" s="4" t="s">
        <v>48</v>
      </c>
      <c r="C574">
        <v>9</v>
      </c>
      <c r="D574" s="5" t="s">
        <v>62</v>
      </c>
      <c r="E574" s="13">
        <v>19322521.594999999</v>
      </c>
      <c r="F574" s="13">
        <v>9741205.3599999994</v>
      </c>
      <c r="G574" s="13">
        <v>6701735.4000000004</v>
      </c>
    </row>
    <row r="575" spans="1:7">
      <c r="A575" s="4">
        <v>48</v>
      </c>
      <c r="B575" s="4" t="s">
        <v>48</v>
      </c>
      <c r="C575">
        <v>10</v>
      </c>
      <c r="D575" s="5" t="s">
        <v>63</v>
      </c>
      <c r="E575" s="13">
        <v>19788124.524999999</v>
      </c>
      <c r="F575" s="13">
        <v>9975933.1999999993</v>
      </c>
      <c r="G575" s="13">
        <v>6863223</v>
      </c>
    </row>
    <row r="576" spans="1:7">
      <c r="A576" s="3">
        <v>48</v>
      </c>
      <c r="B576" s="4" t="s">
        <v>48</v>
      </c>
      <c r="C576">
        <v>11</v>
      </c>
      <c r="D576" s="5" t="s">
        <v>64</v>
      </c>
      <c r="E576" s="13">
        <v>21184933.315000001</v>
      </c>
      <c r="F576" s="13">
        <v>10680116.720000001</v>
      </c>
      <c r="G576" s="13">
        <v>7347685.7999999998</v>
      </c>
    </row>
    <row r="577" spans="1:7">
      <c r="A577" s="11">
        <v>48</v>
      </c>
      <c r="B577" s="11" t="s">
        <v>48</v>
      </c>
      <c r="C577">
        <v>12</v>
      </c>
      <c r="D577" s="5" t="s">
        <v>65</v>
      </c>
      <c r="E577" s="13">
        <v>20253727.454999998</v>
      </c>
      <c r="F577" s="13">
        <v>10210661.039999999</v>
      </c>
      <c r="G577" s="13">
        <v>7024710.5999999996</v>
      </c>
    </row>
    <row r="578" spans="1:7">
      <c r="A578" s="3">
        <v>49</v>
      </c>
      <c r="B578" s="4" t="s">
        <v>49</v>
      </c>
      <c r="C578">
        <v>1</v>
      </c>
      <c r="D578" s="5" t="s">
        <v>54</v>
      </c>
      <c r="E578" s="13">
        <v>65237424.395000003</v>
      </c>
      <c r="F578" s="13">
        <v>8022169.1200000001</v>
      </c>
      <c r="G578" s="13">
        <v>12844992.85</v>
      </c>
    </row>
    <row r="579" spans="1:7">
      <c r="A579" s="4">
        <v>49</v>
      </c>
      <c r="B579" s="4" t="s">
        <v>49</v>
      </c>
      <c r="C579">
        <v>2</v>
      </c>
      <c r="D579" s="5" t="s">
        <v>55</v>
      </c>
      <c r="E579" s="13">
        <v>68381396.655000001</v>
      </c>
      <c r="F579" s="13">
        <v>8408779.6799999997</v>
      </c>
      <c r="G579" s="13">
        <v>13464028.65</v>
      </c>
    </row>
    <row r="580" spans="1:7">
      <c r="A580" s="3">
        <v>49</v>
      </c>
      <c r="B580" s="4" t="s">
        <v>49</v>
      </c>
      <c r="C580">
        <v>3</v>
      </c>
      <c r="D580" s="5" t="s">
        <v>56</v>
      </c>
      <c r="E580" s="13">
        <v>63665438.265000001</v>
      </c>
      <c r="F580" s="13">
        <v>7828863.8399999999</v>
      </c>
      <c r="G580" s="13">
        <v>12535474.949999999</v>
      </c>
    </row>
    <row r="581" spans="1:7">
      <c r="A581" s="4">
        <v>49</v>
      </c>
      <c r="B581" s="4" t="s">
        <v>49</v>
      </c>
      <c r="C581">
        <v>4</v>
      </c>
      <c r="D581" s="5" t="s">
        <v>57</v>
      </c>
      <c r="E581" s="13">
        <v>62093452.134999998</v>
      </c>
      <c r="F581" s="13">
        <v>7635558.5599999996</v>
      </c>
      <c r="G581" s="13">
        <v>12225957.050000001</v>
      </c>
    </row>
    <row r="582" spans="1:7">
      <c r="A582" s="3">
        <v>49</v>
      </c>
      <c r="B582" s="4" t="s">
        <v>49</v>
      </c>
      <c r="C582">
        <v>5</v>
      </c>
      <c r="D582" s="5" t="s">
        <v>58</v>
      </c>
      <c r="E582" s="13">
        <v>62879445.200000003</v>
      </c>
      <c r="F582" s="13">
        <v>7732211.2000000002</v>
      </c>
      <c r="G582" s="13">
        <v>12380716</v>
      </c>
    </row>
    <row r="583" spans="1:7">
      <c r="A583" s="4">
        <v>49</v>
      </c>
      <c r="B583" s="4" t="s">
        <v>49</v>
      </c>
      <c r="C583">
        <v>6</v>
      </c>
      <c r="D583" s="5" t="s">
        <v>59</v>
      </c>
      <c r="E583" s="13">
        <v>61307459.07</v>
      </c>
      <c r="F583" s="13">
        <v>7538905.9199999999</v>
      </c>
      <c r="G583" s="13">
        <v>12071198.1</v>
      </c>
    </row>
    <row r="584" spans="1:7">
      <c r="A584" s="3">
        <v>49</v>
      </c>
      <c r="B584" s="4" t="s">
        <v>49</v>
      </c>
      <c r="C584">
        <v>7</v>
      </c>
      <c r="D584" s="5" t="s">
        <v>60</v>
      </c>
      <c r="E584" s="13">
        <v>69167389.719999999</v>
      </c>
      <c r="F584" s="13">
        <v>8505432.3200000003</v>
      </c>
      <c r="G584" s="13">
        <v>13618787.6</v>
      </c>
    </row>
    <row r="585" spans="1:7">
      <c r="A585" s="4">
        <v>49</v>
      </c>
      <c r="B585" s="4" t="s">
        <v>49</v>
      </c>
      <c r="C585">
        <v>8</v>
      </c>
      <c r="D585" s="5" t="s">
        <v>61</v>
      </c>
      <c r="E585" s="13">
        <v>61307459.07</v>
      </c>
      <c r="F585" s="13">
        <v>7538905.9199999999</v>
      </c>
      <c r="G585" s="13">
        <v>12071198.1</v>
      </c>
    </row>
    <row r="586" spans="1:7">
      <c r="A586" s="3">
        <v>49</v>
      </c>
      <c r="B586" s="4" t="s">
        <v>49</v>
      </c>
      <c r="C586">
        <v>9</v>
      </c>
      <c r="D586" s="5" t="s">
        <v>62</v>
      </c>
      <c r="E586" s="13">
        <v>65237424.395000003</v>
      </c>
      <c r="F586" s="13">
        <v>8022169.1200000001</v>
      </c>
      <c r="G586" s="13">
        <v>12844992.85</v>
      </c>
    </row>
    <row r="587" spans="1:7">
      <c r="A587" s="4">
        <v>49</v>
      </c>
      <c r="B587" s="4" t="s">
        <v>49</v>
      </c>
      <c r="C587">
        <v>10</v>
      </c>
      <c r="D587" s="5" t="s">
        <v>63</v>
      </c>
      <c r="E587" s="13">
        <v>66809410.524999999</v>
      </c>
      <c r="F587" s="13">
        <v>8215474.4000000004</v>
      </c>
      <c r="G587" s="13">
        <v>13154510.75</v>
      </c>
    </row>
    <row r="588" spans="1:7">
      <c r="A588" s="3">
        <v>49</v>
      </c>
      <c r="B588" s="4" t="s">
        <v>49</v>
      </c>
      <c r="C588">
        <v>11</v>
      </c>
      <c r="D588" s="5" t="s">
        <v>64</v>
      </c>
      <c r="E588" s="13">
        <v>71525368.915000007</v>
      </c>
      <c r="F588" s="13">
        <v>8795390.2400000002</v>
      </c>
      <c r="G588" s="13">
        <v>14083064.449999999</v>
      </c>
    </row>
    <row r="589" spans="1:7">
      <c r="A589" s="11">
        <v>49</v>
      </c>
      <c r="B589" s="11" t="s">
        <v>49</v>
      </c>
      <c r="C589">
        <v>12</v>
      </c>
      <c r="D589" s="5" t="s">
        <v>65</v>
      </c>
      <c r="E589" s="13">
        <v>68381396.655000001</v>
      </c>
      <c r="F589" s="13">
        <v>8408779.6799999997</v>
      </c>
      <c r="G589" s="13">
        <v>13464028.65</v>
      </c>
    </row>
    <row r="590" spans="1:7">
      <c r="A590" s="3">
        <v>50</v>
      </c>
      <c r="B590" s="4" t="s">
        <v>50</v>
      </c>
      <c r="C590">
        <v>1</v>
      </c>
      <c r="D590" s="5" t="s">
        <v>54</v>
      </c>
      <c r="E590" s="13">
        <v>6121987.04</v>
      </c>
      <c r="F590" s="13">
        <v>2005542.28</v>
      </c>
      <c r="G590" s="13">
        <v>2010520.62</v>
      </c>
    </row>
    <row r="591" spans="1:7">
      <c r="A591" s="4">
        <v>50</v>
      </c>
      <c r="B591" s="4" t="s">
        <v>50</v>
      </c>
      <c r="C591">
        <v>2</v>
      </c>
      <c r="D591" s="5" t="s">
        <v>55</v>
      </c>
      <c r="E591" s="13">
        <v>6417022.5599999996</v>
      </c>
      <c r="F591" s="13">
        <v>2102194.92</v>
      </c>
      <c r="G591" s="13">
        <v>2107413.1800000002</v>
      </c>
    </row>
    <row r="592" spans="1:7">
      <c r="A592" s="3">
        <v>50</v>
      </c>
      <c r="B592" s="4" t="s">
        <v>50</v>
      </c>
      <c r="C592">
        <v>3</v>
      </c>
      <c r="D592" s="5" t="s">
        <v>56</v>
      </c>
      <c r="E592" s="13">
        <v>5974469.2800000003</v>
      </c>
      <c r="F592" s="13">
        <v>1957215.96</v>
      </c>
      <c r="G592" s="13">
        <v>1962074.34</v>
      </c>
    </row>
    <row r="593" spans="1:7">
      <c r="A593" s="4">
        <v>50</v>
      </c>
      <c r="B593" s="4" t="s">
        <v>50</v>
      </c>
      <c r="C593">
        <v>4</v>
      </c>
      <c r="D593" s="5" t="s">
        <v>57</v>
      </c>
      <c r="E593" s="13">
        <v>5826951.5199999996</v>
      </c>
      <c r="F593" s="13">
        <v>1908889.64</v>
      </c>
      <c r="G593" s="13">
        <v>1913628.06</v>
      </c>
    </row>
    <row r="594" spans="1:7">
      <c r="A594" s="3">
        <v>50</v>
      </c>
      <c r="B594" s="4" t="s">
        <v>50</v>
      </c>
      <c r="C594">
        <v>5</v>
      </c>
      <c r="D594" s="5" t="s">
        <v>58</v>
      </c>
      <c r="E594" s="13">
        <v>5900710.4000000004</v>
      </c>
      <c r="F594" s="13">
        <v>1933052.8</v>
      </c>
      <c r="G594" s="13">
        <v>1937851.2</v>
      </c>
    </row>
    <row r="595" spans="1:7">
      <c r="A595" s="4">
        <v>50</v>
      </c>
      <c r="B595" s="4" t="s">
        <v>50</v>
      </c>
      <c r="C595">
        <v>6</v>
      </c>
      <c r="D595" s="5" t="s">
        <v>59</v>
      </c>
      <c r="E595" s="13">
        <v>5753192.6399999997</v>
      </c>
      <c r="F595" s="13">
        <v>1884726.48</v>
      </c>
      <c r="G595" s="13">
        <v>1889404.92</v>
      </c>
    </row>
    <row r="596" spans="1:7">
      <c r="A596" s="3">
        <v>50</v>
      </c>
      <c r="B596" s="4" t="s">
        <v>50</v>
      </c>
      <c r="C596">
        <v>7</v>
      </c>
      <c r="D596" s="5" t="s">
        <v>60</v>
      </c>
      <c r="E596" s="13">
        <v>6490781.4400000004</v>
      </c>
      <c r="F596" s="13">
        <v>2126358.08</v>
      </c>
      <c r="G596" s="13">
        <v>2131636.3199999998</v>
      </c>
    </row>
    <row r="597" spans="1:7">
      <c r="A597" s="4">
        <v>50</v>
      </c>
      <c r="B597" s="4" t="s">
        <v>50</v>
      </c>
      <c r="C597">
        <v>8</v>
      </c>
      <c r="D597" s="5" t="s">
        <v>61</v>
      </c>
      <c r="E597" s="13">
        <v>5753192.6399999997</v>
      </c>
      <c r="F597" s="13">
        <v>1884726.48</v>
      </c>
      <c r="G597" s="13">
        <v>1889404.92</v>
      </c>
    </row>
    <row r="598" spans="1:7">
      <c r="A598" s="3">
        <v>50</v>
      </c>
      <c r="B598" s="4" t="s">
        <v>50</v>
      </c>
      <c r="C598">
        <v>9</v>
      </c>
      <c r="D598" s="5" t="s">
        <v>62</v>
      </c>
      <c r="E598" s="13">
        <v>6121987.04</v>
      </c>
      <c r="F598" s="13">
        <v>2005542.28</v>
      </c>
      <c r="G598" s="13">
        <v>2010520.62</v>
      </c>
    </row>
    <row r="599" spans="1:7">
      <c r="A599" s="4">
        <v>50</v>
      </c>
      <c r="B599" s="4" t="s">
        <v>50</v>
      </c>
      <c r="C599">
        <v>10</v>
      </c>
      <c r="D599" s="5" t="s">
        <v>63</v>
      </c>
      <c r="E599" s="13">
        <v>6269504.7999999998</v>
      </c>
      <c r="F599" s="13">
        <v>2053868.6</v>
      </c>
      <c r="G599" s="13">
        <v>2058966.9</v>
      </c>
    </row>
    <row r="600" spans="1:7">
      <c r="A600" s="3">
        <v>50</v>
      </c>
      <c r="B600" s="4" t="s">
        <v>50</v>
      </c>
      <c r="C600">
        <v>11</v>
      </c>
      <c r="D600" s="5" t="s">
        <v>64</v>
      </c>
      <c r="E600" s="13">
        <v>6712058.0800000001</v>
      </c>
      <c r="F600" s="13">
        <v>2198847.56</v>
      </c>
      <c r="G600" s="13">
        <v>2204305.7400000002</v>
      </c>
    </row>
    <row r="601" spans="1:7">
      <c r="A601" s="11">
        <v>50</v>
      </c>
      <c r="B601" s="11" t="s">
        <v>50</v>
      </c>
      <c r="C601">
        <v>12</v>
      </c>
      <c r="D601" s="5" t="s">
        <v>65</v>
      </c>
      <c r="E601" s="13">
        <v>6417022.5599999996</v>
      </c>
      <c r="F601" s="13">
        <v>2102194.92</v>
      </c>
      <c r="G601" s="13">
        <v>2107413.1800000002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7DFC-07BC-4450-A62B-3BD5550AC1C5}">
  <dimension ref="A1:L51"/>
  <sheetViews>
    <sheetView topLeftCell="E1" workbookViewId="0">
      <selection activeCell="I2" sqref="I2"/>
    </sheetView>
  </sheetViews>
  <sheetFormatPr defaultRowHeight="15"/>
  <cols>
    <col min="1" max="1" width="9.5703125" customWidth="1"/>
    <col min="2" max="2" width="19.85546875" customWidth="1"/>
    <col min="3" max="3" width="13.5703125" customWidth="1"/>
    <col min="4" max="4" width="25.7109375" customWidth="1"/>
    <col min="5" max="5" width="13.28515625" customWidth="1"/>
    <col min="6" max="6" width="37.28515625" customWidth="1"/>
    <col min="7" max="7" width="23.85546875" customWidth="1"/>
    <col min="8" max="8" width="26.140625" customWidth="1"/>
    <col min="9" max="9" width="23.28515625" customWidth="1"/>
    <col min="10" max="10" width="15.7109375" customWidth="1"/>
    <col min="11" max="11" width="18" customWidth="1"/>
    <col min="12" max="12" width="19.85546875" customWidth="1"/>
  </cols>
  <sheetData>
    <row r="1" spans="1:12">
      <c r="A1" s="12" t="s">
        <v>98</v>
      </c>
      <c r="B1" s="12" t="s">
        <v>0</v>
      </c>
      <c r="C1" s="12" t="s">
        <v>51</v>
      </c>
      <c r="D1" s="22" t="s">
        <v>101</v>
      </c>
      <c r="E1" s="22" t="s">
        <v>53</v>
      </c>
      <c r="F1" s="12" t="s">
        <v>102</v>
      </c>
      <c r="G1" s="22" t="s">
        <v>103</v>
      </c>
      <c r="H1" s="22" t="s">
        <v>104</v>
      </c>
      <c r="I1" s="12" t="s">
        <v>117</v>
      </c>
      <c r="J1" s="12" t="s">
        <v>118</v>
      </c>
      <c r="K1" s="23" t="s">
        <v>119</v>
      </c>
      <c r="L1" s="24" t="s">
        <v>115</v>
      </c>
    </row>
    <row r="2" spans="1:12">
      <c r="A2" s="17">
        <v>1</v>
      </c>
      <c r="B2" s="17" t="s">
        <v>1</v>
      </c>
      <c r="C2" s="18">
        <v>279</v>
      </c>
      <c r="D2" s="19">
        <v>99</v>
      </c>
      <c r="E2" s="19">
        <v>164</v>
      </c>
      <c r="F2" s="28">
        <v>643085235</v>
      </c>
      <c r="G2" s="28">
        <v>170868060</v>
      </c>
      <c r="H2" s="28">
        <v>220699720</v>
      </c>
      <c r="I2" s="31">
        <f>Table2[[#This Row],[Population]]/Table2[[#This Row],[McDonald''s]]</f>
        <v>17381.279569892475</v>
      </c>
      <c r="J2" s="31">
        <f>Table2[[#This Row],[Population]]/Table2[[#This Row],[Wendy''s (with Franchise)]]</f>
        <v>48983.606060606064</v>
      </c>
      <c r="K2" s="31">
        <f>Table2[[#This Row],[Population]]/Table2[[#This Row],[Burger King]]</f>
        <v>29569.371951219513</v>
      </c>
      <c r="L2" s="26">
        <v>4849377</v>
      </c>
    </row>
    <row r="3" spans="1:12">
      <c r="A3" s="11">
        <v>2</v>
      </c>
      <c r="B3" s="11" t="s">
        <v>2</v>
      </c>
      <c r="C3" s="20">
        <v>31</v>
      </c>
      <c r="D3" s="21">
        <v>8</v>
      </c>
      <c r="E3" s="21">
        <v>8</v>
      </c>
      <c r="F3" s="29">
        <v>71453915</v>
      </c>
      <c r="G3" s="29">
        <v>13807520</v>
      </c>
      <c r="H3" s="29">
        <v>10765840</v>
      </c>
      <c r="I3" s="31">
        <f>Table2[[#This Row],[Population]]/Table2[[#This Row],[McDonald''s]]</f>
        <v>23765.548387096773</v>
      </c>
      <c r="J3" s="31">
        <f>Table2[[#This Row],[Population]]/Table2[[#This Row],[Wendy''s (with Franchise)]]</f>
        <v>92091.5</v>
      </c>
      <c r="K3" s="31">
        <f>Table2[[#This Row],[Population]]/Table2[[#This Row],[Burger King]]</f>
        <v>92091.5</v>
      </c>
      <c r="L3" s="26">
        <v>736732</v>
      </c>
    </row>
    <row r="4" spans="1:12">
      <c r="A4" s="17">
        <v>3</v>
      </c>
      <c r="B4" s="17" t="s">
        <v>3</v>
      </c>
      <c r="C4" s="18">
        <v>292</v>
      </c>
      <c r="D4" s="19">
        <v>94</v>
      </c>
      <c r="E4" s="19">
        <v>167</v>
      </c>
      <c r="F4" s="28">
        <v>673049780</v>
      </c>
      <c r="G4" s="28">
        <v>162238360</v>
      </c>
      <c r="H4" s="28">
        <v>224736910</v>
      </c>
      <c r="I4" s="31">
        <f>Table2[[#This Row],[Population]]/Table2[[#This Row],[McDonald''s]]</f>
        <v>23053.027397260274</v>
      </c>
      <c r="J4" s="31">
        <f>Table2[[#This Row],[Population]]/Table2[[#This Row],[Wendy''s (with Franchise)]]</f>
        <v>71611.531914893611</v>
      </c>
      <c r="K4" s="31">
        <f>Table2[[#This Row],[Population]]/Table2[[#This Row],[Burger King]]</f>
        <v>40308.287425149698</v>
      </c>
      <c r="L4" s="26">
        <v>6731484</v>
      </c>
    </row>
    <row r="5" spans="1:12">
      <c r="A5" s="11">
        <v>4</v>
      </c>
      <c r="B5" s="11" t="s">
        <v>4</v>
      </c>
      <c r="C5" s="20">
        <v>184</v>
      </c>
      <c r="D5" s="21">
        <v>63</v>
      </c>
      <c r="E5" s="21">
        <v>80</v>
      </c>
      <c r="F5" s="29">
        <v>424113560</v>
      </c>
      <c r="G5" s="29">
        <v>108734220</v>
      </c>
      <c r="H5" s="29">
        <v>107658400</v>
      </c>
      <c r="I5" s="31">
        <f>Table2[[#This Row],[Population]]/Table2[[#This Row],[McDonald''s]]</f>
        <v>16121.570652173914</v>
      </c>
      <c r="J5" s="31">
        <f>Table2[[#This Row],[Population]]/Table2[[#This Row],[Wendy''s (with Franchise)]]</f>
        <v>47085.222222222219</v>
      </c>
      <c r="K5" s="31">
        <f>Table2[[#This Row],[Population]]/Table2[[#This Row],[Burger King]]</f>
        <v>37079.612500000003</v>
      </c>
      <c r="L5" s="26">
        <v>2966369</v>
      </c>
    </row>
    <row r="6" spans="1:12">
      <c r="A6" s="17">
        <v>5</v>
      </c>
      <c r="B6" s="17" t="s">
        <v>5</v>
      </c>
      <c r="C6" s="18">
        <v>1492</v>
      </c>
      <c r="D6" s="19">
        <v>261</v>
      </c>
      <c r="E6" s="19">
        <v>582</v>
      </c>
      <c r="F6" s="28">
        <v>3439007780</v>
      </c>
      <c r="G6" s="28">
        <v>450470340</v>
      </c>
      <c r="H6" s="28">
        <v>783214860</v>
      </c>
      <c r="I6" s="31">
        <f>Table2[[#This Row],[Population]]/Table2[[#This Row],[McDonald''s]]</f>
        <v>26007.037533512066</v>
      </c>
      <c r="J6" s="31">
        <f>Table2[[#This Row],[Population]]/Table2[[#This Row],[Wendy''s (with Franchise)]]</f>
        <v>148668.58237547893</v>
      </c>
      <c r="K6" s="31">
        <f>Table2[[#This Row],[Population]]/Table2[[#This Row],[Burger King]]</f>
        <v>66670.962199312708</v>
      </c>
      <c r="L6" s="26">
        <v>38802500</v>
      </c>
    </row>
    <row r="7" spans="1:12">
      <c r="A7" s="11">
        <v>6</v>
      </c>
      <c r="B7" s="11" t="s">
        <v>6</v>
      </c>
      <c r="C7" s="20">
        <v>237</v>
      </c>
      <c r="D7" s="21">
        <v>127</v>
      </c>
      <c r="E7" s="21">
        <v>123</v>
      </c>
      <c r="F7" s="29">
        <v>546276705</v>
      </c>
      <c r="G7" s="29">
        <v>219194380</v>
      </c>
      <c r="H7" s="29">
        <v>165524790</v>
      </c>
      <c r="I7" s="31">
        <f>Table2[[#This Row],[Population]]/Table2[[#This Row],[McDonald''s]]</f>
        <v>22598.590717299579</v>
      </c>
      <c r="J7" s="31">
        <f>Table2[[#This Row],[Population]]/Table2[[#This Row],[Wendy''s (with Franchise)]]</f>
        <v>42172.173228346459</v>
      </c>
      <c r="K7" s="31">
        <f>Table2[[#This Row],[Population]]/Table2[[#This Row],[Burger King]]</f>
        <v>43543.626016260161</v>
      </c>
      <c r="L7" s="26">
        <v>5355866</v>
      </c>
    </row>
    <row r="8" spans="1:12">
      <c r="A8" s="17">
        <v>7</v>
      </c>
      <c r="B8" s="17" t="s">
        <v>7</v>
      </c>
      <c r="C8" s="18">
        <v>157</v>
      </c>
      <c r="D8" s="19">
        <v>47</v>
      </c>
      <c r="E8" s="19">
        <v>65</v>
      </c>
      <c r="F8" s="28">
        <v>361879505</v>
      </c>
      <c r="G8" s="28">
        <v>81119180</v>
      </c>
      <c r="H8" s="28">
        <v>87472450</v>
      </c>
      <c r="I8" s="31">
        <f>Table2[[#This Row],[Population]]/Table2[[#This Row],[McDonald''s]]</f>
        <v>22908.770700636942</v>
      </c>
      <c r="J8" s="31">
        <f>Table2[[#This Row],[Population]]/Table2[[#This Row],[Wendy''s (with Franchise)]]</f>
        <v>76525.042553191495</v>
      </c>
      <c r="K8" s="31">
        <f>Table2[[#This Row],[Population]]/Table2[[#This Row],[Burger King]]</f>
        <v>55333.492307692308</v>
      </c>
      <c r="L8" s="26">
        <v>3596677</v>
      </c>
    </row>
    <row r="9" spans="1:12">
      <c r="A9" s="11">
        <v>8</v>
      </c>
      <c r="B9" s="11" t="s">
        <v>8</v>
      </c>
      <c r="C9" s="20">
        <v>44</v>
      </c>
      <c r="D9" s="21">
        <v>15</v>
      </c>
      <c r="E9" s="21">
        <v>20</v>
      </c>
      <c r="F9" s="29">
        <v>101418460</v>
      </c>
      <c r="G9" s="29">
        <v>25889100</v>
      </c>
      <c r="H9" s="29">
        <v>26914600</v>
      </c>
      <c r="I9" s="31">
        <f>Table2[[#This Row],[Population]]/Table2[[#This Row],[McDonald''s]]</f>
        <v>21263.954545454544</v>
      </c>
      <c r="J9" s="31">
        <f>Table2[[#This Row],[Population]]/Table2[[#This Row],[Wendy''s (with Franchise)]]</f>
        <v>62374.26666666667</v>
      </c>
      <c r="K9" s="31">
        <f>Table2[[#This Row],[Population]]/Table2[[#This Row],[Burger King]]</f>
        <v>46780.7</v>
      </c>
      <c r="L9" s="26">
        <v>935614</v>
      </c>
    </row>
    <row r="10" spans="1:12">
      <c r="A10" s="17">
        <v>9</v>
      </c>
      <c r="B10" s="17" t="s">
        <v>9</v>
      </c>
      <c r="C10" s="18">
        <v>986</v>
      </c>
      <c r="D10" s="19">
        <v>500</v>
      </c>
      <c r="E10" s="19">
        <v>562</v>
      </c>
      <c r="F10" s="28">
        <v>2272695490</v>
      </c>
      <c r="G10" s="28">
        <v>862970000</v>
      </c>
      <c r="H10" s="28">
        <v>756300260</v>
      </c>
      <c r="I10" s="31">
        <f>Table2[[#This Row],[Population]]/Table2[[#This Row],[McDonald''s]]</f>
        <v>20175.757606490872</v>
      </c>
      <c r="J10" s="31">
        <f>Table2[[#This Row],[Population]]/Table2[[#This Row],[Wendy''s (with Franchise)]]</f>
        <v>39786.593999999997</v>
      </c>
      <c r="K10" s="31">
        <f>Table2[[#This Row],[Population]]/Table2[[#This Row],[Burger King]]</f>
        <v>35397.325622775803</v>
      </c>
      <c r="L10" s="26">
        <v>19893297</v>
      </c>
    </row>
    <row r="11" spans="1:12">
      <c r="A11" s="11">
        <v>10</v>
      </c>
      <c r="B11" s="11" t="s">
        <v>10</v>
      </c>
      <c r="C11" s="20">
        <v>511</v>
      </c>
      <c r="D11" s="21">
        <v>277</v>
      </c>
      <c r="E11" s="21">
        <v>260</v>
      </c>
      <c r="F11" s="29">
        <v>1177837115</v>
      </c>
      <c r="G11" s="29">
        <v>478085380</v>
      </c>
      <c r="H11" s="29">
        <v>349889800</v>
      </c>
      <c r="I11" s="31">
        <f>Table2[[#This Row],[Population]]/Table2[[#This Row],[McDonald''s]]</f>
        <v>19759.966731898239</v>
      </c>
      <c r="J11" s="31">
        <f>Table2[[#This Row],[Population]]/Table2[[#This Row],[Wendy''s (with Franchise)]]</f>
        <v>36452.501805054155</v>
      </c>
      <c r="K11" s="31">
        <f>Table2[[#This Row],[Population]]/Table2[[#This Row],[Burger King]]</f>
        <v>38835.934615384613</v>
      </c>
      <c r="L11" s="26">
        <v>10097343</v>
      </c>
    </row>
    <row r="12" spans="1:12">
      <c r="A12" s="17">
        <v>11</v>
      </c>
      <c r="B12" s="17" t="s">
        <v>11</v>
      </c>
      <c r="C12" s="18">
        <v>65</v>
      </c>
      <c r="D12" s="19">
        <v>7</v>
      </c>
      <c r="E12" s="19">
        <v>30</v>
      </c>
      <c r="F12" s="28">
        <v>149822725</v>
      </c>
      <c r="G12" s="28">
        <v>12081580</v>
      </c>
      <c r="H12" s="28">
        <v>40371900</v>
      </c>
      <c r="I12" s="31">
        <f>Table2[[#This Row],[Population]]/Table2[[#This Row],[McDonald''s]]</f>
        <v>21839.4</v>
      </c>
      <c r="J12" s="31">
        <f>Table2[[#This Row],[Population]]/Table2[[#This Row],[Wendy''s (with Franchise)]]</f>
        <v>202794.42857142858</v>
      </c>
      <c r="K12" s="31">
        <f>Table2[[#This Row],[Population]]/Table2[[#This Row],[Burger King]]</f>
        <v>47318.7</v>
      </c>
      <c r="L12" s="26">
        <v>1419561</v>
      </c>
    </row>
    <row r="13" spans="1:12">
      <c r="A13" s="11">
        <v>12</v>
      </c>
      <c r="B13" s="11" t="s">
        <v>12</v>
      </c>
      <c r="C13" s="20">
        <v>69</v>
      </c>
      <c r="D13" s="21">
        <v>28</v>
      </c>
      <c r="E13" s="21">
        <v>34</v>
      </c>
      <c r="F13" s="29">
        <v>159042585</v>
      </c>
      <c r="G13" s="29">
        <v>48326320</v>
      </c>
      <c r="H13" s="29">
        <v>45754820</v>
      </c>
      <c r="I13" s="31">
        <f>Table2[[#This Row],[Population]]/Table2[[#This Row],[McDonald''s]]</f>
        <v>23687.884057971016</v>
      </c>
      <c r="J13" s="31">
        <f>Table2[[#This Row],[Population]]/Table2[[#This Row],[Wendy''s (with Franchise)]]</f>
        <v>58373.714285714283</v>
      </c>
      <c r="K13" s="31">
        <f>Table2[[#This Row],[Population]]/Table2[[#This Row],[Burger King]]</f>
        <v>48072.470588235294</v>
      </c>
      <c r="L13" s="26">
        <v>1634464</v>
      </c>
    </row>
    <row r="14" spans="1:12">
      <c r="A14" s="17">
        <v>13</v>
      </c>
      <c r="B14" s="17" t="s">
        <v>13</v>
      </c>
      <c r="C14" s="18">
        <v>738</v>
      </c>
      <c r="D14" s="19">
        <v>190</v>
      </c>
      <c r="E14" s="19">
        <v>301</v>
      </c>
      <c r="F14" s="28">
        <v>1701064170</v>
      </c>
      <c r="G14" s="28">
        <v>327928600</v>
      </c>
      <c r="H14" s="28">
        <v>405064730</v>
      </c>
      <c r="I14" s="31">
        <f>Table2[[#This Row],[Population]]/Table2[[#This Row],[McDonald''s]]</f>
        <v>17453.360433604335</v>
      </c>
      <c r="J14" s="31">
        <f>Table2[[#This Row],[Population]]/Table2[[#This Row],[Wendy''s (with Franchise)]]</f>
        <v>67792.526315789481</v>
      </c>
      <c r="K14" s="31">
        <f>Table2[[#This Row],[Population]]/Table2[[#This Row],[Burger King]]</f>
        <v>42792.624584717611</v>
      </c>
      <c r="L14" s="26">
        <v>12880580</v>
      </c>
    </row>
    <row r="15" spans="1:12">
      <c r="A15" s="11">
        <v>14</v>
      </c>
      <c r="B15" s="11" t="s">
        <v>14</v>
      </c>
      <c r="C15" s="20">
        <v>392</v>
      </c>
      <c r="D15" s="21">
        <v>179</v>
      </c>
      <c r="E15" s="21">
        <v>192</v>
      </c>
      <c r="F15" s="29">
        <v>903546280</v>
      </c>
      <c r="G15" s="29">
        <v>308943260</v>
      </c>
      <c r="H15" s="29">
        <v>258380160</v>
      </c>
      <c r="I15" s="31">
        <f>Table2[[#This Row],[Population]]/Table2[[#This Row],[McDonald''s]]</f>
        <v>16828.711734693876</v>
      </c>
      <c r="J15" s="31">
        <f>Table2[[#This Row],[Population]]/Table2[[#This Row],[Wendy''s (with Franchise)]]</f>
        <v>36853.938547486032</v>
      </c>
      <c r="K15" s="31">
        <f>Table2[[#This Row],[Population]]/Table2[[#This Row],[Burger King]]</f>
        <v>34358.619791666664</v>
      </c>
      <c r="L15" s="26">
        <v>6596855</v>
      </c>
    </row>
    <row r="16" spans="1:12">
      <c r="A16" s="17">
        <v>15</v>
      </c>
      <c r="B16" s="17" t="s">
        <v>15</v>
      </c>
      <c r="C16" s="18">
        <v>173</v>
      </c>
      <c r="D16" s="19">
        <v>41</v>
      </c>
      <c r="E16" s="19">
        <v>82</v>
      </c>
      <c r="F16" s="28">
        <v>398758945</v>
      </c>
      <c r="G16" s="28">
        <v>70763540</v>
      </c>
      <c r="H16" s="28">
        <v>110349860</v>
      </c>
      <c r="I16" s="31">
        <f>Table2[[#This Row],[Population]]/Table2[[#This Row],[McDonald''s]]</f>
        <v>17960.265895953758</v>
      </c>
      <c r="J16" s="31">
        <f>Table2[[#This Row],[Population]]/Table2[[#This Row],[Wendy''s (with Franchise)]]</f>
        <v>75783.560975609755</v>
      </c>
      <c r="K16" s="31">
        <f>Table2[[#This Row],[Population]]/Table2[[#This Row],[Burger King]]</f>
        <v>37891.780487804877</v>
      </c>
      <c r="L16" s="26">
        <v>3107126</v>
      </c>
    </row>
    <row r="17" spans="1:12">
      <c r="A17" s="11">
        <v>16</v>
      </c>
      <c r="B17" s="11" t="s">
        <v>16</v>
      </c>
      <c r="C17" s="20">
        <v>184</v>
      </c>
      <c r="D17" s="21">
        <v>66</v>
      </c>
      <c r="E17" s="21">
        <v>67</v>
      </c>
      <c r="F17" s="29">
        <v>424113560</v>
      </c>
      <c r="G17" s="29">
        <v>113912040</v>
      </c>
      <c r="H17" s="29">
        <v>90163910</v>
      </c>
      <c r="I17" s="31">
        <f>Table2[[#This Row],[Population]]/Table2[[#This Row],[McDonald''s]]</f>
        <v>15782.722826086956</v>
      </c>
      <c r="J17" s="31">
        <f>Table2[[#This Row],[Population]]/Table2[[#This Row],[Wendy''s (with Franchise)]]</f>
        <v>44000.318181818184</v>
      </c>
      <c r="K17" s="31">
        <f>Table2[[#This Row],[Population]]/Table2[[#This Row],[Burger King]]</f>
        <v>43343.59701492537</v>
      </c>
      <c r="L17" s="26">
        <v>2904021</v>
      </c>
    </row>
    <row r="18" spans="1:12">
      <c r="A18" s="17">
        <v>17</v>
      </c>
      <c r="B18" s="17" t="s">
        <v>17</v>
      </c>
      <c r="C18" s="18">
        <v>261</v>
      </c>
      <c r="D18" s="19">
        <v>141</v>
      </c>
      <c r="E18" s="19">
        <v>99</v>
      </c>
      <c r="F18" s="28">
        <v>601595865</v>
      </c>
      <c r="G18" s="28">
        <v>243357540</v>
      </c>
      <c r="H18" s="28">
        <v>133227270</v>
      </c>
      <c r="I18" s="31">
        <f>Table2[[#This Row],[Population]]/Table2[[#This Row],[McDonald''s]]</f>
        <v>16909.796934865899</v>
      </c>
      <c r="J18" s="31">
        <f>Table2[[#This Row],[Population]]/Table2[[#This Row],[Wendy''s (with Franchise)]]</f>
        <v>31301.113475177306</v>
      </c>
      <c r="K18" s="31">
        <f>Table2[[#This Row],[Population]]/Table2[[#This Row],[Burger King]]</f>
        <v>44580.373737373739</v>
      </c>
      <c r="L18" s="26">
        <v>4413457</v>
      </c>
    </row>
    <row r="19" spans="1:12">
      <c r="A19" s="11">
        <v>18</v>
      </c>
      <c r="B19" s="11" t="s">
        <v>18</v>
      </c>
      <c r="C19" s="20">
        <v>291</v>
      </c>
      <c r="D19" s="21">
        <v>124</v>
      </c>
      <c r="E19" s="21">
        <v>163</v>
      </c>
      <c r="F19" s="29">
        <v>670744815</v>
      </c>
      <c r="G19" s="29">
        <v>214016560</v>
      </c>
      <c r="H19" s="29">
        <v>219353990</v>
      </c>
      <c r="I19" s="31">
        <f>Table2[[#This Row],[Population]]/Table2[[#This Row],[McDonald''s]]</f>
        <v>15978.268041237114</v>
      </c>
      <c r="J19" s="31">
        <f>Table2[[#This Row],[Population]]/Table2[[#This Row],[Wendy''s (with Franchise)]]</f>
        <v>37497.387096774197</v>
      </c>
      <c r="K19" s="31">
        <f>Table2[[#This Row],[Population]]/Table2[[#This Row],[Burger King]]</f>
        <v>28525.619631901842</v>
      </c>
      <c r="L19" s="26">
        <v>4649676</v>
      </c>
    </row>
    <row r="20" spans="1:12">
      <c r="A20" s="17">
        <v>19</v>
      </c>
      <c r="B20" s="17" t="s">
        <v>19</v>
      </c>
      <c r="C20" s="18">
        <v>72</v>
      </c>
      <c r="D20" s="19">
        <v>17</v>
      </c>
      <c r="E20" s="19">
        <v>34</v>
      </c>
      <c r="F20" s="28">
        <v>165957480</v>
      </c>
      <c r="G20" s="28">
        <v>29340980</v>
      </c>
      <c r="H20" s="28">
        <v>45754820</v>
      </c>
      <c r="I20" s="31">
        <f>Table2[[#This Row],[Population]]/Table2[[#This Row],[McDonald''s]]</f>
        <v>18473.458333333332</v>
      </c>
      <c r="J20" s="31">
        <f>Table2[[#This Row],[Population]]/Table2[[#This Row],[Wendy''s (with Franchise)]]</f>
        <v>78240.529411764699</v>
      </c>
      <c r="K20" s="31">
        <f>Table2[[#This Row],[Population]]/Table2[[#This Row],[Burger King]]</f>
        <v>39120.26470588235</v>
      </c>
      <c r="L20" s="26">
        <v>1330089</v>
      </c>
    </row>
    <row r="21" spans="1:12">
      <c r="A21" s="11">
        <v>20</v>
      </c>
      <c r="B21" s="11" t="s">
        <v>20</v>
      </c>
      <c r="C21" s="20">
        <v>375</v>
      </c>
      <c r="D21" s="21">
        <v>106</v>
      </c>
      <c r="E21" s="21">
        <v>126</v>
      </c>
      <c r="F21" s="29">
        <v>864361875</v>
      </c>
      <c r="G21" s="29">
        <v>182949640</v>
      </c>
      <c r="H21" s="29">
        <v>169561980</v>
      </c>
      <c r="I21" s="31">
        <f>Table2[[#This Row],[Population]]/Table2[[#This Row],[McDonald''s]]</f>
        <v>15937.085333333333</v>
      </c>
      <c r="J21" s="31">
        <f>Table2[[#This Row],[Population]]/Table2[[#This Row],[Wendy''s (with Franchise)]]</f>
        <v>56381.198113207545</v>
      </c>
      <c r="K21" s="31">
        <f>Table2[[#This Row],[Population]]/Table2[[#This Row],[Burger King]]</f>
        <v>47431.80158730159</v>
      </c>
      <c r="L21" s="26">
        <v>5976407</v>
      </c>
    </row>
    <row r="22" spans="1:12">
      <c r="A22" s="17">
        <v>21</v>
      </c>
      <c r="B22" s="17" t="s">
        <v>21</v>
      </c>
      <c r="C22" s="18">
        <v>297</v>
      </c>
      <c r="D22" s="19">
        <v>94</v>
      </c>
      <c r="E22" s="19">
        <v>122</v>
      </c>
      <c r="F22" s="28">
        <v>684574605</v>
      </c>
      <c r="G22" s="28">
        <v>162238360</v>
      </c>
      <c r="H22" s="28">
        <v>164179060</v>
      </c>
      <c r="I22" s="31">
        <f>Table2[[#This Row],[Population]]/Table2[[#This Row],[McDonald''s]]</f>
        <v>22711.811447811448</v>
      </c>
      <c r="J22" s="31">
        <f>Table2[[#This Row],[Population]]/Table2[[#This Row],[Wendy''s (with Franchise)]]</f>
        <v>71759.659574468082</v>
      </c>
      <c r="K22" s="31">
        <f>Table2[[#This Row],[Population]]/Table2[[#This Row],[Burger King]]</f>
        <v>55290.229508196724</v>
      </c>
      <c r="L22" s="26">
        <v>6745408</v>
      </c>
    </row>
    <row r="23" spans="1:12">
      <c r="A23" s="11">
        <v>22</v>
      </c>
      <c r="B23" s="11" t="s">
        <v>22</v>
      </c>
      <c r="C23" s="20">
        <v>631</v>
      </c>
      <c r="D23" s="21">
        <v>252</v>
      </c>
      <c r="E23" s="21">
        <v>304</v>
      </c>
      <c r="F23" s="29">
        <v>1454432915</v>
      </c>
      <c r="G23" s="29">
        <v>434936880</v>
      </c>
      <c r="H23" s="29">
        <v>409101920</v>
      </c>
      <c r="I23" s="31">
        <f>Table2[[#This Row],[Population]]/Table2[[#This Row],[McDonald''s]]</f>
        <v>15705.034865293186</v>
      </c>
      <c r="J23" s="31">
        <f>Table2[[#This Row],[Population]]/Table2[[#This Row],[Wendy''s (with Franchise)]]</f>
        <v>39324.908730158728</v>
      </c>
      <c r="K23" s="31">
        <f>Table2[[#This Row],[Population]]/Table2[[#This Row],[Burger King]]</f>
        <v>32598.279605263157</v>
      </c>
      <c r="L23" s="26">
        <v>9909877</v>
      </c>
    </row>
    <row r="24" spans="1:12">
      <c r="A24" s="17">
        <v>23</v>
      </c>
      <c r="B24" s="17" t="s">
        <v>23</v>
      </c>
      <c r="C24" s="18">
        <v>282</v>
      </c>
      <c r="D24" s="19">
        <v>63</v>
      </c>
      <c r="E24" s="19">
        <v>124</v>
      </c>
      <c r="F24" s="28">
        <v>650000130</v>
      </c>
      <c r="G24" s="28">
        <v>108734220</v>
      </c>
      <c r="H24" s="28">
        <v>166870520</v>
      </c>
      <c r="I24" s="31">
        <f>Table2[[#This Row],[Population]]/Table2[[#This Row],[McDonald''s]]</f>
        <v>19351.677304964538</v>
      </c>
      <c r="J24" s="31">
        <f>Table2[[#This Row],[Population]]/Table2[[#This Row],[Wendy''s (with Franchise)]]</f>
        <v>86621.793650793654</v>
      </c>
      <c r="K24" s="31">
        <f>Table2[[#This Row],[Population]]/Table2[[#This Row],[Burger King]]</f>
        <v>44009.459677419356</v>
      </c>
      <c r="L24" s="26">
        <v>5457173</v>
      </c>
    </row>
    <row r="25" spans="1:12">
      <c r="A25" s="11">
        <v>24</v>
      </c>
      <c r="B25" s="11" t="s">
        <v>24</v>
      </c>
      <c r="C25" s="20">
        <v>162</v>
      </c>
      <c r="D25" s="21">
        <v>93</v>
      </c>
      <c r="E25" s="21">
        <v>84</v>
      </c>
      <c r="F25" s="29">
        <v>373404330</v>
      </c>
      <c r="G25" s="29">
        <v>160512420</v>
      </c>
      <c r="H25" s="29">
        <v>113041320</v>
      </c>
      <c r="I25" s="31">
        <f>Table2[[#This Row],[Population]]/Table2[[#This Row],[McDonald''s]]</f>
        <v>18481.969135802468</v>
      </c>
      <c r="J25" s="31">
        <f>Table2[[#This Row],[Population]]/Table2[[#This Row],[Wendy''s (with Franchise)]]</f>
        <v>32194.397849462366</v>
      </c>
      <c r="K25" s="31">
        <f>Table2[[#This Row],[Population]]/Table2[[#This Row],[Burger King]]</f>
        <v>35643.797619047618</v>
      </c>
      <c r="L25" s="26">
        <v>2994079</v>
      </c>
    </row>
    <row r="26" spans="1:12">
      <c r="A26" s="17">
        <v>25</v>
      </c>
      <c r="B26" s="17" t="s">
        <v>25</v>
      </c>
      <c r="C26" s="18">
        <v>368</v>
      </c>
      <c r="D26" s="19">
        <v>97</v>
      </c>
      <c r="E26" s="19">
        <v>123</v>
      </c>
      <c r="F26" s="28">
        <v>848227120</v>
      </c>
      <c r="G26" s="28">
        <v>167416180</v>
      </c>
      <c r="H26" s="28">
        <v>165524790</v>
      </c>
      <c r="I26" s="31">
        <f>Table2[[#This Row],[Population]]/Table2[[#This Row],[McDonald''s]]</f>
        <v>16477.144021739132</v>
      </c>
      <c r="J26" s="31">
        <f>Table2[[#This Row],[Population]]/Table2[[#This Row],[Wendy''s (with Franchise)]]</f>
        <v>62511.226804123711</v>
      </c>
      <c r="K26" s="31">
        <f>Table2[[#This Row],[Population]]/Table2[[#This Row],[Burger King]]</f>
        <v>49297.471544715445</v>
      </c>
      <c r="L26" s="26">
        <v>6063589</v>
      </c>
    </row>
    <row r="27" spans="1:12">
      <c r="A27" s="11">
        <v>26</v>
      </c>
      <c r="B27" s="11" t="s">
        <v>26</v>
      </c>
      <c r="C27" s="20">
        <v>55</v>
      </c>
      <c r="D27" s="21">
        <v>14</v>
      </c>
      <c r="E27" s="21">
        <v>21</v>
      </c>
      <c r="F27" s="29">
        <v>126773075</v>
      </c>
      <c r="G27" s="29">
        <v>24163160</v>
      </c>
      <c r="H27" s="29">
        <v>28260330</v>
      </c>
      <c r="I27" s="31">
        <f>Table2[[#This Row],[Population]]/Table2[[#This Row],[McDonald''s]]</f>
        <v>18610.527272727271</v>
      </c>
      <c r="J27" s="31">
        <f>Table2[[#This Row],[Population]]/Table2[[#This Row],[Wendy''s (with Franchise)]]</f>
        <v>73112.78571428571</v>
      </c>
      <c r="K27" s="31">
        <f>Table2[[#This Row],[Population]]/Table2[[#This Row],[Burger King]]</f>
        <v>48741.857142857145</v>
      </c>
      <c r="L27" s="26">
        <v>1023579</v>
      </c>
    </row>
    <row r="28" spans="1:12">
      <c r="A28" s="17">
        <v>27</v>
      </c>
      <c r="B28" s="17" t="s">
        <v>27</v>
      </c>
      <c r="C28" s="18">
        <v>89</v>
      </c>
      <c r="D28" s="19">
        <v>30</v>
      </c>
      <c r="E28" s="19">
        <v>66</v>
      </c>
      <c r="F28" s="28">
        <v>205141885</v>
      </c>
      <c r="G28" s="28">
        <v>51778200</v>
      </c>
      <c r="H28" s="28">
        <v>88818180</v>
      </c>
      <c r="I28" s="31">
        <f>Table2[[#This Row],[Population]]/Table2[[#This Row],[McDonald''s]]</f>
        <v>21140.483146067414</v>
      </c>
      <c r="J28" s="31">
        <f>Table2[[#This Row],[Population]]/Table2[[#This Row],[Wendy''s (with Franchise)]]</f>
        <v>62716.76666666667</v>
      </c>
      <c r="K28" s="31">
        <f>Table2[[#This Row],[Population]]/Table2[[#This Row],[Burger King]]</f>
        <v>28507.621212121212</v>
      </c>
      <c r="L28" s="26">
        <v>1881503</v>
      </c>
    </row>
    <row r="29" spans="1:12">
      <c r="A29" s="11">
        <v>28</v>
      </c>
      <c r="B29" s="11" t="s">
        <v>28</v>
      </c>
      <c r="C29" s="20">
        <v>155</v>
      </c>
      <c r="D29" s="21">
        <v>43</v>
      </c>
      <c r="E29" s="21">
        <v>68</v>
      </c>
      <c r="F29" s="29">
        <v>357269575</v>
      </c>
      <c r="G29" s="29">
        <v>74215420</v>
      </c>
      <c r="H29" s="29">
        <v>91509640</v>
      </c>
      <c r="I29" s="31">
        <f>Table2[[#This Row],[Population]]/Table2[[#This Row],[McDonald''s]]</f>
        <v>18316.767741935484</v>
      </c>
      <c r="J29" s="31">
        <f>Table2[[#This Row],[Population]]/Table2[[#This Row],[Wendy''s (with Franchise)]]</f>
        <v>66025.558139534885</v>
      </c>
      <c r="K29" s="31">
        <f>Table2[[#This Row],[Population]]/Table2[[#This Row],[Burger King]]</f>
        <v>41751.455882352944</v>
      </c>
      <c r="L29" s="26">
        <v>2839099</v>
      </c>
    </row>
    <row r="30" spans="1:12">
      <c r="A30" s="17">
        <v>29</v>
      </c>
      <c r="B30" s="17" t="s">
        <v>29</v>
      </c>
      <c r="C30" s="18">
        <v>69</v>
      </c>
      <c r="D30" s="19">
        <v>23</v>
      </c>
      <c r="E30" s="19">
        <v>30</v>
      </c>
      <c r="F30" s="28">
        <v>159042585</v>
      </c>
      <c r="G30" s="28">
        <v>39696620</v>
      </c>
      <c r="H30" s="28">
        <v>40371900</v>
      </c>
      <c r="I30" s="31">
        <f>Table2[[#This Row],[Population]]/Table2[[#This Row],[McDonald''s]]</f>
        <v>19229.17391304348</v>
      </c>
      <c r="J30" s="31">
        <f>Table2[[#This Row],[Population]]/Table2[[#This Row],[Wendy''s (with Franchise)]]</f>
        <v>57687.521739130432</v>
      </c>
      <c r="K30" s="31">
        <f>Table2[[#This Row],[Population]]/Table2[[#This Row],[Burger King]]</f>
        <v>44227.1</v>
      </c>
      <c r="L30" s="26">
        <v>1326813</v>
      </c>
    </row>
    <row r="31" spans="1:12">
      <c r="A31" s="11">
        <v>30</v>
      </c>
      <c r="B31" s="11" t="s">
        <v>30</v>
      </c>
      <c r="C31" s="20">
        <v>311</v>
      </c>
      <c r="D31" s="21">
        <v>139</v>
      </c>
      <c r="E31" s="21">
        <v>192</v>
      </c>
      <c r="F31" s="29">
        <v>716844115</v>
      </c>
      <c r="G31" s="29">
        <v>239905660</v>
      </c>
      <c r="H31" s="29">
        <v>258380160</v>
      </c>
      <c r="I31" s="31">
        <f>Table2[[#This Row],[Population]]/Table2[[#This Row],[McDonald''s]]</f>
        <v>28740.112540192928</v>
      </c>
      <c r="J31" s="31">
        <f>Table2[[#This Row],[Population]]/Table2[[#This Row],[Wendy''s (with Franchise)]]</f>
        <v>64303.417266187047</v>
      </c>
      <c r="K31" s="31">
        <f>Table2[[#This Row],[Population]]/Table2[[#This Row],[Burger King]]</f>
        <v>46552.994791666664</v>
      </c>
      <c r="L31" s="26">
        <v>8938175</v>
      </c>
    </row>
    <row r="32" spans="1:12">
      <c r="A32" s="17">
        <v>31</v>
      </c>
      <c r="B32" s="17" t="s">
        <v>31</v>
      </c>
      <c r="C32" s="18">
        <v>100</v>
      </c>
      <c r="D32" s="19">
        <v>40</v>
      </c>
      <c r="E32" s="19">
        <v>51</v>
      </c>
      <c r="F32" s="28">
        <v>230496500</v>
      </c>
      <c r="G32" s="28">
        <v>69037600</v>
      </c>
      <c r="H32" s="28">
        <v>68632230</v>
      </c>
      <c r="I32" s="31">
        <f>Table2[[#This Row],[Population]]/Table2[[#This Row],[McDonald''s]]</f>
        <v>20855.72</v>
      </c>
      <c r="J32" s="31">
        <f>Table2[[#This Row],[Population]]/Table2[[#This Row],[Wendy''s (with Franchise)]]</f>
        <v>52139.3</v>
      </c>
      <c r="K32" s="31">
        <f>Table2[[#This Row],[Population]]/Table2[[#This Row],[Burger King]]</f>
        <v>40893.568627450979</v>
      </c>
      <c r="L32" s="26">
        <v>2085572</v>
      </c>
    </row>
    <row r="33" spans="1:12">
      <c r="A33" s="11">
        <v>32</v>
      </c>
      <c r="B33" s="11" t="s">
        <v>32</v>
      </c>
      <c r="C33" s="20">
        <v>767</v>
      </c>
      <c r="D33" s="21">
        <v>213</v>
      </c>
      <c r="E33" s="21">
        <v>336</v>
      </c>
      <c r="F33" s="29">
        <v>1767908155</v>
      </c>
      <c r="G33" s="29">
        <v>367625220</v>
      </c>
      <c r="H33" s="29">
        <v>452165280</v>
      </c>
      <c r="I33" s="31">
        <f>Table2[[#This Row],[Population]]/Table2[[#This Row],[McDonald''s]]</f>
        <v>25744.754889178617</v>
      </c>
      <c r="J33" s="31">
        <f>Table2[[#This Row],[Population]]/Table2[[#This Row],[Wendy''s (with Franchise)]]</f>
        <v>92705.291079812203</v>
      </c>
      <c r="K33" s="31">
        <f>Table2[[#This Row],[Population]]/Table2[[#This Row],[Burger King]]</f>
        <v>58768.532738095237</v>
      </c>
      <c r="L33" s="26">
        <v>19746227</v>
      </c>
    </row>
    <row r="34" spans="1:12">
      <c r="A34" s="17">
        <v>33</v>
      </c>
      <c r="B34" s="17" t="s">
        <v>33</v>
      </c>
      <c r="C34" s="18">
        <v>475</v>
      </c>
      <c r="D34" s="19">
        <v>251</v>
      </c>
      <c r="E34" s="19">
        <v>243</v>
      </c>
      <c r="F34" s="28">
        <v>1094858375</v>
      </c>
      <c r="G34" s="28">
        <v>433210940</v>
      </c>
      <c r="H34" s="28">
        <v>327012390</v>
      </c>
      <c r="I34" s="31">
        <f>Table2[[#This Row],[Population]]/Table2[[#This Row],[McDonald''s]]</f>
        <v>20934.661052631578</v>
      </c>
      <c r="J34" s="31">
        <f>Table2[[#This Row],[Population]]/Table2[[#This Row],[Wendy''s (with Franchise)]]</f>
        <v>39617.386454183266</v>
      </c>
      <c r="K34" s="31">
        <f>Table2[[#This Row],[Population]]/Table2[[#This Row],[Burger King]]</f>
        <v>40921.662551440328</v>
      </c>
      <c r="L34" s="26">
        <v>9943964</v>
      </c>
    </row>
    <row r="35" spans="1:12">
      <c r="A35" s="11">
        <v>34</v>
      </c>
      <c r="B35" s="11" t="s">
        <v>34</v>
      </c>
      <c r="C35" s="20">
        <v>29</v>
      </c>
      <c r="D35" s="21">
        <v>8</v>
      </c>
      <c r="E35" s="21">
        <v>21</v>
      </c>
      <c r="F35" s="29">
        <v>66843985</v>
      </c>
      <c r="G35" s="29">
        <v>13807520</v>
      </c>
      <c r="H35" s="29">
        <v>28260330</v>
      </c>
      <c r="I35" s="31">
        <f>Table2[[#This Row],[Population]]/Table2[[#This Row],[McDonald''s]]</f>
        <v>25499.379310344826</v>
      </c>
      <c r="J35" s="31">
        <f>Table2[[#This Row],[Population]]/Table2[[#This Row],[Wendy''s (with Franchise)]]</f>
        <v>92435.25</v>
      </c>
      <c r="K35" s="31">
        <f>Table2[[#This Row],[Population]]/Table2[[#This Row],[Burger King]]</f>
        <v>35213.428571428572</v>
      </c>
      <c r="L35" s="26">
        <v>739482</v>
      </c>
    </row>
    <row r="36" spans="1:12">
      <c r="A36" s="17">
        <v>35</v>
      </c>
      <c r="B36" s="17" t="s">
        <v>35</v>
      </c>
      <c r="C36" s="18">
        <v>823</v>
      </c>
      <c r="D36" s="19">
        <v>409</v>
      </c>
      <c r="E36" s="19">
        <v>338</v>
      </c>
      <c r="F36" s="28">
        <v>1896986195</v>
      </c>
      <c r="G36" s="28">
        <v>705909460</v>
      </c>
      <c r="H36" s="28">
        <v>454856740</v>
      </c>
      <c r="I36" s="31">
        <f>Table2[[#This Row],[Population]]/Table2[[#This Row],[McDonald''s]]</f>
        <v>14087.682867557716</v>
      </c>
      <c r="J36" s="31">
        <f>Table2[[#This Row],[Population]]/Table2[[#This Row],[Wendy''s (with Franchise)]]</f>
        <v>28347.586797066015</v>
      </c>
      <c r="K36" s="31">
        <f>Table2[[#This Row],[Population]]/Table2[[#This Row],[Burger King]]</f>
        <v>34302.257396449706</v>
      </c>
      <c r="L36" s="26">
        <v>11594163</v>
      </c>
    </row>
    <row r="37" spans="1:12">
      <c r="A37" s="11">
        <v>36</v>
      </c>
      <c r="B37" s="11" t="s">
        <v>36</v>
      </c>
      <c r="C37" s="20">
        <v>217</v>
      </c>
      <c r="D37" s="21">
        <v>35</v>
      </c>
      <c r="E37" s="21">
        <v>58</v>
      </c>
      <c r="F37" s="29">
        <v>500177405</v>
      </c>
      <c r="G37" s="29">
        <v>60407900</v>
      </c>
      <c r="H37" s="29">
        <v>78052340</v>
      </c>
      <c r="I37" s="31">
        <f>Table2[[#This Row],[Population]]/Table2[[#This Row],[McDonald''s]]</f>
        <v>17871.202764976959</v>
      </c>
      <c r="J37" s="31">
        <f>Table2[[#This Row],[Population]]/Table2[[#This Row],[Wendy''s (with Franchise)]]</f>
        <v>110801.45714285714</v>
      </c>
      <c r="K37" s="31">
        <f>Table2[[#This Row],[Population]]/Table2[[#This Row],[Burger King]]</f>
        <v>66862.948275862072</v>
      </c>
      <c r="L37" s="26">
        <v>3878051</v>
      </c>
    </row>
    <row r="38" spans="1:12">
      <c r="A38" s="17">
        <v>37</v>
      </c>
      <c r="B38" s="17" t="s">
        <v>37</v>
      </c>
      <c r="C38" s="18">
        <v>205</v>
      </c>
      <c r="D38" s="19">
        <v>38</v>
      </c>
      <c r="E38" s="19">
        <v>87</v>
      </c>
      <c r="F38" s="28">
        <v>472517825</v>
      </c>
      <c r="G38" s="28">
        <v>65585720</v>
      </c>
      <c r="H38" s="28">
        <v>117078510</v>
      </c>
      <c r="I38" s="31">
        <f>Table2[[#This Row],[Population]]/Table2[[#This Row],[McDonald''s]]</f>
        <v>19367.019512195122</v>
      </c>
      <c r="J38" s="31">
        <f>Table2[[#This Row],[Population]]/Table2[[#This Row],[Wendy''s (with Franchise)]]</f>
        <v>104479.97368421052</v>
      </c>
      <c r="K38" s="31">
        <f>Table2[[#This Row],[Population]]/Table2[[#This Row],[Burger King]]</f>
        <v>45634.931034482761</v>
      </c>
      <c r="L38" s="26">
        <v>3970239</v>
      </c>
    </row>
    <row r="39" spans="1:12">
      <c r="A39" s="11">
        <v>38</v>
      </c>
      <c r="B39" s="11" t="s">
        <v>38</v>
      </c>
      <c r="C39" s="20">
        <v>583</v>
      </c>
      <c r="D39" s="21">
        <v>257</v>
      </c>
      <c r="E39" s="21">
        <v>271</v>
      </c>
      <c r="F39" s="29">
        <v>1343794595</v>
      </c>
      <c r="G39" s="29">
        <v>443566580</v>
      </c>
      <c r="H39" s="29">
        <v>364692830</v>
      </c>
      <c r="I39" s="31">
        <f>Table2[[#This Row],[Population]]/Table2[[#This Row],[McDonald''s]]</f>
        <v>21933.463121783876</v>
      </c>
      <c r="J39" s="31">
        <f>Table2[[#This Row],[Population]]/Table2[[#This Row],[Wendy''s (with Franchise)]]</f>
        <v>49755.677042801559</v>
      </c>
      <c r="K39" s="31">
        <f>Table2[[#This Row],[Population]]/Table2[[#This Row],[Burger King]]</f>
        <v>47185.27306273063</v>
      </c>
      <c r="L39" s="26">
        <v>12787209</v>
      </c>
    </row>
    <row r="40" spans="1:12">
      <c r="A40" s="17">
        <v>39</v>
      </c>
      <c r="B40" s="17" t="s">
        <v>39</v>
      </c>
      <c r="C40" s="18">
        <v>44</v>
      </c>
      <c r="D40" s="19">
        <v>18</v>
      </c>
      <c r="E40" s="19">
        <v>27</v>
      </c>
      <c r="F40" s="28">
        <v>101418460</v>
      </c>
      <c r="G40" s="28">
        <v>31066920</v>
      </c>
      <c r="H40" s="28">
        <v>36334710</v>
      </c>
      <c r="I40" s="31">
        <f>Table2[[#This Row],[Population]]/Table2[[#This Row],[McDonald''s]]</f>
        <v>23981.204545454544</v>
      </c>
      <c r="J40" s="31">
        <f>Table2[[#This Row],[Population]]/Table2[[#This Row],[Wendy''s (with Franchise)]]</f>
        <v>58620.722222222219</v>
      </c>
      <c r="K40" s="31">
        <f>Table2[[#This Row],[Population]]/Table2[[#This Row],[Burger King]]</f>
        <v>39080.481481481482</v>
      </c>
      <c r="L40" s="26">
        <v>1055173</v>
      </c>
    </row>
    <row r="41" spans="1:12">
      <c r="A41" s="11">
        <v>40</v>
      </c>
      <c r="B41" s="11" t="s">
        <v>40</v>
      </c>
      <c r="C41" s="20">
        <v>258</v>
      </c>
      <c r="D41" s="21">
        <v>126</v>
      </c>
      <c r="E41" s="21">
        <v>150</v>
      </c>
      <c r="F41" s="29">
        <v>594680970</v>
      </c>
      <c r="G41" s="29">
        <v>217468440</v>
      </c>
      <c r="H41" s="29">
        <v>201859500</v>
      </c>
      <c r="I41" s="31">
        <f>Table2[[#This Row],[Population]]/Table2[[#This Row],[McDonald''s]]</f>
        <v>18730.550387596901</v>
      </c>
      <c r="J41" s="31">
        <f>Table2[[#This Row],[Population]]/Table2[[#This Row],[Wendy''s (with Franchise)]]</f>
        <v>38353.031746031746</v>
      </c>
      <c r="K41" s="31">
        <f>Table2[[#This Row],[Population]]/Table2[[#This Row],[Burger King]]</f>
        <v>32216.546666666665</v>
      </c>
      <c r="L41" s="26">
        <v>4832482</v>
      </c>
    </row>
    <row r="42" spans="1:12">
      <c r="A42" s="17">
        <v>41</v>
      </c>
      <c r="B42" s="17" t="s">
        <v>41</v>
      </c>
      <c r="C42" s="18">
        <v>36</v>
      </c>
      <c r="D42" s="19">
        <v>9</v>
      </c>
      <c r="E42" s="19">
        <v>27</v>
      </c>
      <c r="F42" s="28">
        <v>82978740</v>
      </c>
      <c r="G42" s="28">
        <v>15533460</v>
      </c>
      <c r="H42" s="28">
        <v>36334710</v>
      </c>
      <c r="I42" s="31">
        <f>Table2[[#This Row],[Population]]/Table2[[#This Row],[McDonald''s]]</f>
        <v>23699.305555555555</v>
      </c>
      <c r="J42" s="31">
        <f>Table2[[#This Row],[Population]]/Table2[[#This Row],[Wendy''s (with Franchise)]]</f>
        <v>94797.222222222219</v>
      </c>
      <c r="K42" s="31">
        <f>Table2[[#This Row],[Population]]/Table2[[#This Row],[Burger King]]</f>
        <v>31599.074074074073</v>
      </c>
      <c r="L42" s="26">
        <v>853175</v>
      </c>
    </row>
    <row r="43" spans="1:12">
      <c r="A43" s="11">
        <v>42</v>
      </c>
      <c r="B43" s="11" t="s">
        <v>42</v>
      </c>
      <c r="C43" s="20">
        <v>393</v>
      </c>
      <c r="D43" s="21">
        <v>179</v>
      </c>
      <c r="E43" s="21">
        <v>179</v>
      </c>
      <c r="F43" s="29">
        <v>905851245</v>
      </c>
      <c r="G43" s="29">
        <v>308943260</v>
      </c>
      <c r="H43" s="29">
        <v>240885670</v>
      </c>
      <c r="I43" s="31">
        <f>Table2[[#This Row],[Population]]/Table2[[#This Row],[McDonald''s]]</f>
        <v>16665.017811704834</v>
      </c>
      <c r="J43" s="31">
        <f>Table2[[#This Row],[Population]]/Table2[[#This Row],[Wendy''s (with Franchise)]]</f>
        <v>36588.558659217881</v>
      </c>
      <c r="K43" s="31">
        <f>Table2[[#This Row],[Population]]/Table2[[#This Row],[Burger King]]</f>
        <v>36588.558659217881</v>
      </c>
      <c r="L43" s="26">
        <v>6549352</v>
      </c>
    </row>
    <row r="44" spans="1:12">
      <c r="A44" s="17">
        <v>43</v>
      </c>
      <c r="B44" s="17" t="s">
        <v>43</v>
      </c>
      <c r="C44" s="18">
        <v>1224</v>
      </c>
      <c r="D44" s="19">
        <v>390</v>
      </c>
      <c r="E44" s="19">
        <v>532</v>
      </c>
      <c r="F44" s="28">
        <v>2821277160</v>
      </c>
      <c r="G44" s="28">
        <v>673116600</v>
      </c>
      <c r="H44" s="28">
        <v>715928360</v>
      </c>
      <c r="I44" s="31">
        <f>Table2[[#This Row],[Population]]/Table2[[#This Row],[McDonald''s]]</f>
        <v>22023.658496732027</v>
      </c>
      <c r="J44" s="31">
        <f>Table2[[#This Row],[Population]]/Table2[[#This Row],[Wendy''s (with Franchise)]]</f>
        <v>69120.405128205122</v>
      </c>
      <c r="K44" s="31">
        <f>Table2[[#This Row],[Population]]/Table2[[#This Row],[Burger King]]</f>
        <v>50670.973684210527</v>
      </c>
      <c r="L44" s="26">
        <v>26956958</v>
      </c>
    </row>
    <row r="45" spans="1:12">
      <c r="A45" s="11">
        <v>44</v>
      </c>
      <c r="B45" s="11" t="s">
        <v>44</v>
      </c>
      <c r="C45" s="20">
        <v>111</v>
      </c>
      <c r="D45" s="21">
        <v>84</v>
      </c>
      <c r="E45" s="21">
        <v>72</v>
      </c>
      <c r="F45" s="29">
        <v>255851115</v>
      </c>
      <c r="G45" s="29">
        <v>144978960</v>
      </c>
      <c r="H45" s="29">
        <v>96892560</v>
      </c>
      <c r="I45" s="31">
        <f>Table2[[#This Row],[Population]]/Table2[[#This Row],[McDonald''s]]</f>
        <v>26512.630630630632</v>
      </c>
      <c r="J45" s="31">
        <f>Table2[[#This Row],[Population]]/Table2[[#This Row],[Wendy''s (with Franchise)]]</f>
        <v>35034.547619047618</v>
      </c>
      <c r="K45" s="31">
        <f>Table2[[#This Row],[Population]]/Table2[[#This Row],[Burger King]]</f>
        <v>40873.638888888891</v>
      </c>
      <c r="L45" s="26">
        <v>2942902</v>
      </c>
    </row>
    <row r="46" spans="1:12">
      <c r="A46" s="17">
        <v>45</v>
      </c>
      <c r="B46" s="17" t="s">
        <v>45</v>
      </c>
      <c r="C46" s="18">
        <v>30</v>
      </c>
      <c r="D46" s="19">
        <v>4</v>
      </c>
      <c r="E46" s="19">
        <v>7</v>
      </c>
      <c r="F46" s="28">
        <v>69148950</v>
      </c>
      <c r="G46" s="28">
        <v>6903760</v>
      </c>
      <c r="H46" s="28">
        <v>9420110</v>
      </c>
      <c r="I46" s="31">
        <f>Table2[[#This Row],[Population]]/Table2[[#This Row],[McDonald''s]]</f>
        <v>20885.400000000001</v>
      </c>
      <c r="J46" s="31">
        <f>Table2[[#This Row],[Population]]/Table2[[#This Row],[Wendy''s (with Franchise)]]</f>
        <v>156640.5</v>
      </c>
      <c r="K46" s="31">
        <f>Table2[[#This Row],[Population]]/Table2[[#This Row],[Burger King]]</f>
        <v>89508.857142857145</v>
      </c>
      <c r="L46" s="26">
        <v>626562</v>
      </c>
    </row>
    <row r="47" spans="1:12">
      <c r="A47" s="11">
        <v>46</v>
      </c>
      <c r="B47" s="11" t="s">
        <v>46</v>
      </c>
      <c r="C47" s="20">
        <v>445</v>
      </c>
      <c r="D47" s="21">
        <v>222</v>
      </c>
      <c r="E47" s="21">
        <v>204</v>
      </c>
      <c r="F47" s="29">
        <v>1025709425</v>
      </c>
      <c r="G47" s="29">
        <v>383158680</v>
      </c>
      <c r="H47" s="29">
        <v>274528920</v>
      </c>
      <c r="I47" s="31">
        <f>Table2[[#This Row],[Population]]/Table2[[#This Row],[McDonald''s]]</f>
        <v>18710.76179775281</v>
      </c>
      <c r="J47" s="31">
        <f>Table2[[#This Row],[Population]]/Table2[[#This Row],[Wendy''s (with Franchise)]]</f>
        <v>37505.806306306309</v>
      </c>
      <c r="K47" s="31">
        <f>Table2[[#This Row],[Population]]/Table2[[#This Row],[Burger King]]</f>
        <v>40815.142156862748</v>
      </c>
      <c r="L47" s="26">
        <v>8326289</v>
      </c>
    </row>
    <row r="48" spans="1:12">
      <c r="A48" s="17">
        <v>47</v>
      </c>
      <c r="B48" s="17" t="s">
        <v>47</v>
      </c>
      <c r="C48" s="18">
        <v>326</v>
      </c>
      <c r="D48" s="19">
        <v>77</v>
      </c>
      <c r="E48" s="19">
        <v>119</v>
      </c>
      <c r="F48" s="28">
        <v>751418590</v>
      </c>
      <c r="G48" s="28">
        <v>132897380</v>
      </c>
      <c r="H48" s="28">
        <v>160141870</v>
      </c>
      <c r="I48" s="31">
        <f>Table2[[#This Row],[Population]]/Table2[[#This Row],[McDonald''s]]</f>
        <v>21661.134969325154</v>
      </c>
      <c r="J48" s="31">
        <f>Table2[[#This Row],[Population]]/Table2[[#This Row],[Wendy''s (with Franchise)]]</f>
        <v>91708.181818181823</v>
      </c>
      <c r="K48" s="31">
        <f>Table2[[#This Row],[Population]]/Table2[[#This Row],[Burger King]]</f>
        <v>59340.588235294119</v>
      </c>
      <c r="L48" s="26">
        <v>7061530</v>
      </c>
    </row>
    <row r="49" spans="1:12">
      <c r="A49" s="11">
        <v>48</v>
      </c>
      <c r="B49" s="11" t="s">
        <v>48</v>
      </c>
      <c r="C49" s="20">
        <v>101</v>
      </c>
      <c r="D49" s="21">
        <v>68</v>
      </c>
      <c r="E49" s="21">
        <v>60</v>
      </c>
      <c r="F49" s="29">
        <v>232801465</v>
      </c>
      <c r="G49" s="29">
        <v>117363920</v>
      </c>
      <c r="H49" s="29">
        <v>80743800</v>
      </c>
      <c r="I49" s="31">
        <f>Table2[[#This Row],[Population]]/Table2[[#This Row],[McDonald''s]]</f>
        <v>18320.059405940596</v>
      </c>
      <c r="J49" s="31">
        <f>Table2[[#This Row],[Population]]/Table2[[#This Row],[Wendy''s (with Franchise)]]</f>
        <v>27210.676470588234</v>
      </c>
      <c r="K49" s="31">
        <f>Table2[[#This Row],[Population]]/Table2[[#This Row],[Burger King]]</f>
        <v>30838.766666666666</v>
      </c>
      <c r="L49" s="26">
        <v>1850326</v>
      </c>
    </row>
    <row r="50" spans="1:12">
      <c r="A50" s="17">
        <v>49</v>
      </c>
      <c r="B50" s="17" t="s">
        <v>49</v>
      </c>
      <c r="C50" s="18">
        <v>341</v>
      </c>
      <c r="D50" s="19">
        <v>56</v>
      </c>
      <c r="E50" s="19">
        <v>115</v>
      </c>
      <c r="F50" s="28">
        <v>785993065</v>
      </c>
      <c r="G50" s="28">
        <v>96652640</v>
      </c>
      <c r="H50" s="28">
        <v>154758950</v>
      </c>
      <c r="I50" s="31">
        <f>Table2[[#This Row],[Population]]/Table2[[#This Row],[McDonald''s]]</f>
        <v>16884.351906158357</v>
      </c>
      <c r="J50" s="31">
        <f>Table2[[#This Row],[Population]]/Table2[[#This Row],[Wendy''s (with Franchise)]]</f>
        <v>102813.64285714286</v>
      </c>
      <c r="K50" s="31">
        <f>Table2[[#This Row],[Population]]/Table2[[#This Row],[Burger King]]</f>
        <v>50065.773913043478</v>
      </c>
      <c r="L50" s="26">
        <v>5757564</v>
      </c>
    </row>
    <row r="51" spans="1:12">
      <c r="A51" s="4">
        <v>50</v>
      </c>
      <c r="B51" s="4" t="s">
        <v>50</v>
      </c>
      <c r="C51" s="15">
        <v>32</v>
      </c>
      <c r="D51" s="16">
        <v>14</v>
      </c>
      <c r="E51" s="16">
        <v>18</v>
      </c>
      <c r="F51" s="30">
        <v>73758880</v>
      </c>
      <c r="G51" s="30">
        <v>24163160</v>
      </c>
      <c r="H51" s="30">
        <v>24223140</v>
      </c>
      <c r="I51" s="31">
        <f>Table2[[#This Row],[Population]]/Table2[[#This Row],[McDonald''s]]</f>
        <v>18254.78125</v>
      </c>
      <c r="J51" s="31">
        <f>Table2[[#This Row],[Population]]/Table2[[#This Row],[Wendy''s (with Franchise)]]</f>
        <v>41725.214285714283</v>
      </c>
      <c r="K51" s="31">
        <f>Table2[[#This Row],[Population]]/Table2[[#This Row],[Burger King]]</f>
        <v>32452.944444444445</v>
      </c>
      <c r="L51" s="26">
        <v>584153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34490-164D-4AEF-BDA5-BD4F8FC35356}">
  <dimension ref="A1:K451"/>
  <sheetViews>
    <sheetView tabSelected="1" topLeftCell="D1" workbookViewId="0">
      <selection activeCell="F4" sqref="F4:F451"/>
    </sheetView>
  </sheetViews>
  <sheetFormatPr defaultRowHeight="15"/>
  <cols>
    <col min="1" max="1" width="8.7109375" customWidth="1"/>
    <col min="2" max="2" width="19.85546875" customWidth="1"/>
    <col min="3" max="3" width="22.7109375" customWidth="1"/>
    <col min="4" max="4" width="23.42578125" customWidth="1"/>
    <col min="5" max="5" width="21.140625" customWidth="1"/>
    <col min="6" max="6" width="30.85546875" customWidth="1"/>
    <col min="7" max="7" width="16.42578125" customWidth="1"/>
    <col min="10" max="10" width="13.7109375" customWidth="1"/>
    <col min="11" max="11" width="16.42578125" customWidth="1"/>
    <col min="12" max="12" width="14.42578125" customWidth="1"/>
    <col min="13" max="13" width="16.7109375" customWidth="1"/>
  </cols>
  <sheetData>
    <row r="1" spans="1:11">
      <c r="A1" t="s">
        <v>106</v>
      </c>
      <c r="B1" t="s">
        <v>107</v>
      </c>
      <c r="C1" t="s">
        <v>66</v>
      </c>
      <c r="D1" t="s">
        <v>67</v>
      </c>
      <c r="E1" t="s">
        <v>108</v>
      </c>
      <c r="F1" t="s">
        <v>109</v>
      </c>
      <c r="G1" t="s">
        <v>105</v>
      </c>
      <c r="H1" t="s">
        <v>110</v>
      </c>
      <c r="I1" t="s">
        <v>113</v>
      </c>
      <c r="J1" t="s">
        <v>120</v>
      </c>
      <c r="K1" t="s">
        <v>114</v>
      </c>
    </row>
    <row r="2" spans="1:11" hidden="1">
      <c r="A2">
        <v>1</v>
      </c>
      <c r="B2" t="s">
        <v>1</v>
      </c>
      <c r="C2">
        <v>1</v>
      </c>
      <c r="D2" t="s">
        <v>51</v>
      </c>
      <c r="E2">
        <v>1</v>
      </c>
      <c r="F2" t="s">
        <v>69</v>
      </c>
      <c r="G2">
        <f>322</f>
        <v>322</v>
      </c>
      <c r="H2" s="33">
        <f>300*1.082-50</f>
        <v>274.60000000000002</v>
      </c>
      <c r="I2">
        <f>180</f>
        <v>180</v>
      </c>
      <c r="J2" s="32">
        <f>Table1[[#This Row],[Target]]/Table1[[#This Row],[Price]]</f>
        <v>153.40782122905028</v>
      </c>
      <c r="K2" s="14">
        <v>1.79</v>
      </c>
    </row>
    <row r="3" spans="1:11" hidden="1">
      <c r="A3">
        <v>1</v>
      </c>
      <c r="B3" t="s">
        <v>1</v>
      </c>
      <c r="C3">
        <v>1</v>
      </c>
      <c r="D3" t="s">
        <v>51</v>
      </c>
      <c r="E3">
        <v>2</v>
      </c>
      <c r="F3" t="s">
        <v>121</v>
      </c>
      <c r="G3">
        <f>399</f>
        <v>399</v>
      </c>
      <c r="H3" s="33">
        <f>380*1.082-50</f>
        <v>361.16</v>
      </c>
      <c r="I3">
        <f>100</f>
        <v>100</v>
      </c>
      <c r="J3" s="32">
        <f>Table1[[#This Row],[Target]]/Table1[[#This Row],[Price]]</f>
        <v>90.516290726817047</v>
      </c>
      <c r="K3">
        <v>3.99</v>
      </c>
    </row>
    <row r="4" spans="1:11">
      <c r="A4">
        <v>1</v>
      </c>
      <c r="B4" t="s">
        <v>1</v>
      </c>
      <c r="C4">
        <v>1</v>
      </c>
      <c r="D4" t="s">
        <v>51</v>
      </c>
      <c r="E4">
        <v>3</v>
      </c>
      <c r="F4" t="s">
        <v>122</v>
      </c>
      <c r="G4">
        <f>143</f>
        <v>143</v>
      </c>
      <c r="H4" s="33">
        <f>170*1.082-50</f>
        <v>133.94000000000003</v>
      </c>
      <c r="I4">
        <f>85</f>
        <v>85</v>
      </c>
      <c r="J4" s="32">
        <f>Table1[[#This Row],[Target]]/Table1[[#This Row],[Price]]</f>
        <v>79.25443786982251</v>
      </c>
      <c r="K4">
        <v>1.69</v>
      </c>
    </row>
    <row r="5" spans="1:11" hidden="1">
      <c r="A5">
        <v>1</v>
      </c>
      <c r="B5" t="s">
        <v>1</v>
      </c>
      <c r="C5">
        <v>2</v>
      </c>
      <c r="D5" t="s">
        <v>52</v>
      </c>
      <c r="E5">
        <v>1</v>
      </c>
      <c r="F5" t="s">
        <v>78</v>
      </c>
      <c r="G5">
        <f>539</f>
        <v>539</v>
      </c>
      <c r="H5" s="33">
        <f>525*1.0868-50</f>
        <v>520.57000000000005</v>
      </c>
      <c r="I5">
        <f>90</f>
        <v>90</v>
      </c>
      <c r="J5" s="32">
        <f>Table1[[#This Row],[Target]]/Table1[[#This Row],[Price]]</f>
        <v>86.906510851419043</v>
      </c>
      <c r="K5">
        <v>5.99</v>
      </c>
    </row>
    <row r="6" spans="1:11" hidden="1">
      <c r="A6">
        <v>1</v>
      </c>
      <c r="B6" t="s">
        <v>1</v>
      </c>
      <c r="C6">
        <v>2</v>
      </c>
      <c r="D6" t="s">
        <v>52</v>
      </c>
      <c r="E6">
        <v>2</v>
      </c>
      <c r="F6" t="s">
        <v>79</v>
      </c>
      <c r="G6">
        <f>169</f>
        <v>169</v>
      </c>
      <c r="H6" s="33">
        <f>180*1.0868</f>
        <v>195.624</v>
      </c>
      <c r="I6">
        <f>85</f>
        <v>85</v>
      </c>
      <c r="J6" s="32">
        <f>Table1[[#This Row],[Target]]/Table1[[#This Row],[Price]]</f>
        <v>98.303517587939695</v>
      </c>
      <c r="K6">
        <v>1.99</v>
      </c>
    </row>
    <row r="7" spans="1:11" hidden="1">
      <c r="A7">
        <v>1</v>
      </c>
      <c r="B7" t="s">
        <v>1</v>
      </c>
      <c r="C7">
        <v>2</v>
      </c>
      <c r="D7" t="s">
        <v>52</v>
      </c>
      <c r="E7">
        <v>3</v>
      </c>
      <c r="F7" t="s">
        <v>80</v>
      </c>
      <c r="G7">
        <f>69</f>
        <v>69</v>
      </c>
      <c r="H7" s="33">
        <f>80*1.0868</f>
        <v>86.944000000000003</v>
      </c>
      <c r="I7">
        <f>70</f>
        <v>70</v>
      </c>
      <c r="J7" s="32">
        <f>Table1[[#This Row],[Target]]/Table1[[#This Row],[Price]]</f>
        <v>87.822222222222223</v>
      </c>
      <c r="K7">
        <v>0.99</v>
      </c>
    </row>
    <row r="8" spans="1:11" hidden="1">
      <c r="A8">
        <v>1</v>
      </c>
      <c r="B8" t="s">
        <v>1</v>
      </c>
      <c r="C8">
        <v>3</v>
      </c>
      <c r="D8" t="s">
        <v>53</v>
      </c>
      <c r="E8">
        <v>1</v>
      </c>
      <c r="F8" t="s">
        <v>111</v>
      </c>
      <c r="G8">
        <f>564</f>
        <v>564</v>
      </c>
      <c r="H8" s="33">
        <f>550*1.138</f>
        <v>625.9</v>
      </c>
      <c r="I8">
        <f>87</f>
        <v>87</v>
      </c>
      <c r="J8" s="32">
        <f>Table1[[#This Row],[Target]]/Table1[[#This Row],[Price]]</f>
        <v>96.440677966101688</v>
      </c>
      <c r="K8">
        <v>6.49</v>
      </c>
    </row>
    <row r="9" spans="1:11" hidden="1">
      <c r="A9">
        <v>1</v>
      </c>
      <c r="B9" t="s">
        <v>1</v>
      </c>
      <c r="C9">
        <v>3</v>
      </c>
      <c r="D9" t="s">
        <v>53</v>
      </c>
      <c r="E9">
        <v>2</v>
      </c>
      <c r="F9" t="s">
        <v>112</v>
      </c>
      <c r="G9">
        <f>319</f>
        <v>319</v>
      </c>
      <c r="H9" s="33">
        <f>345*1.138</f>
        <v>392.60999999999996</v>
      </c>
      <c r="I9">
        <f>80</f>
        <v>80</v>
      </c>
      <c r="J9" s="32">
        <f>Table1[[#This Row],[Target]]/Table1[[#This Row],[Price]]</f>
        <v>98.398496240601489</v>
      </c>
      <c r="K9">
        <v>3.99</v>
      </c>
    </row>
    <row r="10" spans="1:11" hidden="1">
      <c r="A10">
        <v>1</v>
      </c>
      <c r="B10" t="s">
        <v>1</v>
      </c>
      <c r="C10">
        <v>3</v>
      </c>
      <c r="D10" t="s">
        <v>53</v>
      </c>
      <c r="E10">
        <v>3</v>
      </c>
      <c r="F10" t="s">
        <v>88</v>
      </c>
      <c r="G10">
        <f>356</f>
        <v>356</v>
      </c>
      <c r="H10" s="33">
        <f>375*1.138</f>
        <v>426.74999999999994</v>
      </c>
      <c r="I10">
        <f>70</f>
        <v>70</v>
      </c>
      <c r="J10" s="32">
        <f>Table1[[#This Row],[Target]]/Table1[[#This Row],[Price]]</f>
        <v>83.840864440078576</v>
      </c>
      <c r="K10">
        <v>5.09</v>
      </c>
    </row>
    <row r="11" spans="1:11" hidden="1">
      <c r="A11">
        <v>2</v>
      </c>
      <c r="B11" t="s">
        <v>2</v>
      </c>
      <c r="C11">
        <v>1</v>
      </c>
      <c r="D11" t="s">
        <v>51</v>
      </c>
      <c r="E11">
        <v>1</v>
      </c>
      <c r="F11" t="s">
        <v>69</v>
      </c>
      <c r="G11">
        <f>322</f>
        <v>322</v>
      </c>
      <c r="H11" s="33">
        <f>300*1.1</f>
        <v>330</v>
      </c>
      <c r="I11">
        <f>180</f>
        <v>180</v>
      </c>
      <c r="J11" s="32">
        <f>Table1[[#This Row],[Target]]/Table1[[#This Row],[Price]]</f>
        <v>184.35754189944134</v>
      </c>
      <c r="K11" s="14">
        <v>1.79</v>
      </c>
    </row>
    <row r="12" spans="1:11" hidden="1">
      <c r="A12">
        <v>2</v>
      </c>
      <c r="B12" t="s">
        <v>2</v>
      </c>
      <c r="C12">
        <v>1</v>
      </c>
      <c r="D12" t="s">
        <v>51</v>
      </c>
      <c r="E12">
        <v>2</v>
      </c>
      <c r="F12" t="s">
        <v>121</v>
      </c>
      <c r="G12">
        <f>399</f>
        <v>399</v>
      </c>
      <c r="H12" s="33">
        <f>380*1.1-50</f>
        <v>368.00000000000006</v>
      </c>
      <c r="I12">
        <f>100</f>
        <v>100</v>
      </c>
      <c r="J12" s="32">
        <f>Table1[[#This Row],[Target]]/Table1[[#This Row],[Price]]</f>
        <v>92.23057644110277</v>
      </c>
      <c r="K12">
        <v>3.99</v>
      </c>
    </row>
    <row r="13" spans="1:11">
      <c r="A13">
        <v>2</v>
      </c>
      <c r="B13" t="s">
        <v>2</v>
      </c>
      <c r="C13">
        <v>1</v>
      </c>
      <c r="D13" t="s">
        <v>51</v>
      </c>
      <c r="E13">
        <v>3</v>
      </c>
      <c r="F13" t="s">
        <v>122</v>
      </c>
      <c r="G13">
        <f>143</f>
        <v>143</v>
      </c>
      <c r="H13" s="33">
        <f>170*1.1</f>
        <v>187.00000000000003</v>
      </c>
      <c r="I13">
        <f>85</f>
        <v>85</v>
      </c>
      <c r="J13" s="32">
        <f>Table1[[#This Row],[Target]]/Table1[[#This Row],[Price]]</f>
        <v>110.65088757396451</v>
      </c>
      <c r="K13">
        <v>1.69</v>
      </c>
    </row>
    <row r="14" spans="1:11" hidden="1">
      <c r="A14">
        <v>2</v>
      </c>
      <c r="B14" t="s">
        <v>2</v>
      </c>
      <c r="C14">
        <v>2</v>
      </c>
      <c r="D14" t="s">
        <v>52</v>
      </c>
      <c r="E14">
        <v>1</v>
      </c>
      <c r="F14" t="s">
        <v>78</v>
      </c>
      <c r="G14">
        <f>539</f>
        <v>539</v>
      </c>
      <c r="H14" s="33">
        <f>525*0.7</f>
        <v>367.5</v>
      </c>
      <c r="I14">
        <f>90</f>
        <v>90</v>
      </c>
      <c r="J14" s="32">
        <f>Table1[[#This Row],[Target]]/Table1[[#This Row],[Price]]</f>
        <v>61.352253756260431</v>
      </c>
      <c r="K14">
        <v>5.99</v>
      </c>
    </row>
    <row r="15" spans="1:11" hidden="1">
      <c r="A15">
        <v>2</v>
      </c>
      <c r="B15" t="s">
        <v>2</v>
      </c>
      <c r="C15">
        <v>2</v>
      </c>
      <c r="D15" t="s">
        <v>52</v>
      </c>
      <c r="E15">
        <v>2</v>
      </c>
      <c r="F15" t="s">
        <v>79</v>
      </c>
      <c r="G15">
        <f>169</f>
        <v>169</v>
      </c>
      <c r="H15" s="33">
        <f>180*0.7</f>
        <v>125.99999999999999</v>
      </c>
      <c r="I15">
        <f>85</f>
        <v>85</v>
      </c>
      <c r="J15" s="32">
        <f>Table1[[#This Row],[Target]]/Table1[[#This Row],[Price]]</f>
        <v>63.316582914572855</v>
      </c>
      <c r="K15">
        <v>1.99</v>
      </c>
    </row>
    <row r="16" spans="1:11" hidden="1">
      <c r="A16">
        <v>2</v>
      </c>
      <c r="B16" t="s">
        <v>2</v>
      </c>
      <c r="C16">
        <v>2</v>
      </c>
      <c r="D16" t="s">
        <v>52</v>
      </c>
      <c r="E16">
        <v>3</v>
      </c>
      <c r="F16" t="s">
        <v>80</v>
      </c>
      <c r="G16">
        <f>69</f>
        <v>69</v>
      </c>
      <c r="H16" s="33">
        <f>80*0.7</f>
        <v>56</v>
      </c>
      <c r="I16">
        <f>70</f>
        <v>70</v>
      </c>
      <c r="J16" s="32">
        <f>Table1[[#This Row],[Target]]/Table1[[#This Row],[Price]]</f>
        <v>56.565656565656568</v>
      </c>
      <c r="K16">
        <v>0.99</v>
      </c>
    </row>
    <row r="17" spans="1:11" hidden="1">
      <c r="A17">
        <v>2</v>
      </c>
      <c r="B17" t="s">
        <v>2</v>
      </c>
      <c r="C17">
        <v>3</v>
      </c>
      <c r="D17" t="s">
        <v>53</v>
      </c>
      <c r="E17">
        <v>1</v>
      </c>
      <c r="F17" t="s">
        <v>111</v>
      </c>
      <c r="G17">
        <f>564</f>
        <v>564</v>
      </c>
      <c r="H17" s="33">
        <f>550*1.06</f>
        <v>583</v>
      </c>
      <c r="I17">
        <f>87</f>
        <v>87</v>
      </c>
      <c r="J17" s="32">
        <f>Table1[[#This Row],[Target]]/Table1[[#This Row],[Price]]</f>
        <v>89.830508474576263</v>
      </c>
      <c r="K17">
        <v>6.49</v>
      </c>
    </row>
    <row r="18" spans="1:11" hidden="1">
      <c r="A18">
        <v>2</v>
      </c>
      <c r="B18" t="s">
        <v>2</v>
      </c>
      <c r="C18">
        <v>3</v>
      </c>
      <c r="D18" t="s">
        <v>53</v>
      </c>
      <c r="E18">
        <v>2</v>
      </c>
      <c r="F18" t="s">
        <v>112</v>
      </c>
      <c r="G18">
        <f>319</f>
        <v>319</v>
      </c>
      <c r="H18" s="33">
        <f>345*1.06-50</f>
        <v>315.70000000000005</v>
      </c>
      <c r="I18">
        <f>80</f>
        <v>80</v>
      </c>
      <c r="J18" s="32">
        <f>Table1[[#This Row],[Target]]/Table1[[#This Row],[Price]]</f>
        <v>79.122807017543863</v>
      </c>
      <c r="K18">
        <v>3.99</v>
      </c>
    </row>
    <row r="19" spans="1:11" hidden="1">
      <c r="A19">
        <v>2</v>
      </c>
      <c r="B19" t="s">
        <v>2</v>
      </c>
      <c r="C19">
        <v>3</v>
      </c>
      <c r="D19" t="s">
        <v>53</v>
      </c>
      <c r="E19">
        <v>3</v>
      </c>
      <c r="F19" t="s">
        <v>88</v>
      </c>
      <c r="G19">
        <f>356</f>
        <v>356</v>
      </c>
      <c r="H19" s="33">
        <f>375*1.06</f>
        <v>397.5</v>
      </c>
      <c r="I19">
        <f>70</f>
        <v>70</v>
      </c>
      <c r="J19" s="32">
        <f>Table1[[#This Row],[Target]]/Table1[[#This Row],[Price]]</f>
        <v>78.094302554027507</v>
      </c>
      <c r="K19">
        <v>5.09</v>
      </c>
    </row>
    <row r="20" spans="1:11" hidden="1">
      <c r="A20">
        <v>3</v>
      </c>
      <c r="B20" t="s">
        <v>3</v>
      </c>
      <c r="C20">
        <v>1</v>
      </c>
      <c r="D20" t="s">
        <v>51</v>
      </c>
      <c r="E20">
        <v>1</v>
      </c>
      <c r="F20" t="s">
        <v>69</v>
      </c>
      <c r="G20">
        <f>322</f>
        <v>322</v>
      </c>
      <c r="H20" s="33">
        <f>300*1.0924</f>
        <v>327.72</v>
      </c>
      <c r="I20">
        <f>180</f>
        <v>180</v>
      </c>
      <c r="J20" s="32">
        <f>Table1[[#This Row],[Target]]/Table1[[#This Row],[Price]]</f>
        <v>183.08379888268158</v>
      </c>
      <c r="K20" s="14">
        <v>1.79</v>
      </c>
    </row>
    <row r="21" spans="1:11" hidden="1">
      <c r="A21">
        <v>3</v>
      </c>
      <c r="B21" t="s">
        <v>3</v>
      </c>
      <c r="C21">
        <v>1</v>
      </c>
      <c r="D21" t="s">
        <v>51</v>
      </c>
      <c r="E21">
        <v>2</v>
      </c>
      <c r="F21" t="s">
        <v>121</v>
      </c>
      <c r="G21">
        <f>399</f>
        <v>399</v>
      </c>
      <c r="H21" s="33">
        <f>380*1.0924-50</f>
        <v>365.11200000000002</v>
      </c>
      <c r="I21">
        <f>100</f>
        <v>100</v>
      </c>
      <c r="J21" s="32">
        <f>Table1[[#This Row],[Target]]/Table1[[#This Row],[Price]]</f>
        <v>91.506766917293234</v>
      </c>
      <c r="K21">
        <v>3.99</v>
      </c>
    </row>
    <row r="22" spans="1:11">
      <c r="A22">
        <v>3</v>
      </c>
      <c r="B22" t="s">
        <v>3</v>
      </c>
      <c r="C22">
        <v>1</v>
      </c>
      <c r="D22" t="s">
        <v>51</v>
      </c>
      <c r="E22">
        <v>3</v>
      </c>
      <c r="F22" t="s">
        <v>122</v>
      </c>
      <c r="G22">
        <f>143</f>
        <v>143</v>
      </c>
      <c r="H22" s="33">
        <f>170*1.0924</f>
        <v>185.708</v>
      </c>
      <c r="I22">
        <f>85</f>
        <v>85</v>
      </c>
      <c r="J22" s="32">
        <f>Table1[[#This Row],[Target]]/Table1[[#This Row],[Price]]</f>
        <v>109.88639053254438</v>
      </c>
      <c r="K22">
        <v>1.69</v>
      </c>
    </row>
    <row r="23" spans="1:11" hidden="1">
      <c r="A23">
        <v>3</v>
      </c>
      <c r="B23" t="s">
        <v>3</v>
      </c>
      <c r="C23">
        <v>2</v>
      </c>
      <c r="D23" t="s">
        <v>52</v>
      </c>
      <c r="E23">
        <v>1</v>
      </c>
      <c r="F23" t="s">
        <v>78</v>
      </c>
      <c r="G23">
        <f>539</f>
        <v>539</v>
      </c>
      <c r="H23" s="33">
        <f>525*1.0824-50</f>
        <v>518.26</v>
      </c>
      <c r="I23">
        <f>90</f>
        <v>90</v>
      </c>
      <c r="J23" s="32">
        <f>Table1[[#This Row],[Target]]/Table1[[#This Row],[Price]]</f>
        <v>86.520868113522539</v>
      </c>
      <c r="K23">
        <v>5.99</v>
      </c>
    </row>
    <row r="24" spans="1:11" hidden="1">
      <c r="A24">
        <v>3</v>
      </c>
      <c r="B24" t="s">
        <v>3</v>
      </c>
      <c r="C24">
        <v>2</v>
      </c>
      <c r="D24" t="s">
        <v>52</v>
      </c>
      <c r="E24">
        <v>2</v>
      </c>
      <c r="F24" t="s">
        <v>79</v>
      </c>
      <c r="G24">
        <f>169</f>
        <v>169</v>
      </c>
      <c r="H24" s="33">
        <f>180*1.0824</f>
        <v>194.83199999999999</v>
      </c>
      <c r="I24">
        <f>85</f>
        <v>85</v>
      </c>
      <c r="J24" s="32">
        <f>Table1[[#This Row],[Target]]/Table1[[#This Row],[Price]]</f>
        <v>97.905527638190947</v>
      </c>
      <c r="K24">
        <v>1.99</v>
      </c>
    </row>
    <row r="25" spans="1:11" hidden="1">
      <c r="A25">
        <v>3</v>
      </c>
      <c r="B25" t="s">
        <v>3</v>
      </c>
      <c r="C25">
        <v>2</v>
      </c>
      <c r="D25" t="s">
        <v>52</v>
      </c>
      <c r="E25">
        <v>3</v>
      </c>
      <c r="F25" t="s">
        <v>80</v>
      </c>
      <c r="G25">
        <f>69</f>
        <v>69</v>
      </c>
      <c r="H25" s="33">
        <f>80*1.0824-50</f>
        <v>36.591999999999999</v>
      </c>
      <c r="I25">
        <f>70</f>
        <v>70</v>
      </c>
      <c r="J25" s="32">
        <f>Table1[[#This Row],[Target]]/Table1[[#This Row],[Price]]</f>
        <v>36.961616161616163</v>
      </c>
      <c r="K25">
        <v>0.99</v>
      </c>
    </row>
    <row r="26" spans="1:11" hidden="1">
      <c r="A26">
        <v>3</v>
      </c>
      <c r="B26" t="s">
        <v>3</v>
      </c>
      <c r="C26">
        <v>3</v>
      </c>
      <c r="D26" t="s">
        <v>53</v>
      </c>
      <c r="E26">
        <v>1</v>
      </c>
      <c r="F26" t="s">
        <v>111</v>
      </c>
      <c r="G26">
        <f>564</f>
        <v>564</v>
      </c>
      <c r="H26" s="33">
        <f>550*1.159</f>
        <v>637.45000000000005</v>
      </c>
      <c r="I26">
        <f>87</f>
        <v>87</v>
      </c>
      <c r="J26" s="32">
        <f>Table1[[#This Row],[Target]]/Table1[[#This Row],[Price]]</f>
        <v>98.220338983050851</v>
      </c>
      <c r="K26">
        <v>6.49</v>
      </c>
    </row>
    <row r="27" spans="1:11" hidden="1">
      <c r="A27">
        <v>3</v>
      </c>
      <c r="B27" t="s">
        <v>3</v>
      </c>
      <c r="C27">
        <v>3</v>
      </c>
      <c r="D27" t="s">
        <v>53</v>
      </c>
      <c r="E27">
        <v>2</v>
      </c>
      <c r="F27" t="s">
        <v>112</v>
      </c>
      <c r="G27">
        <f>319</f>
        <v>319</v>
      </c>
      <c r="H27" s="33">
        <f>345*1.159</f>
        <v>399.85500000000002</v>
      </c>
      <c r="I27">
        <f>80</f>
        <v>80</v>
      </c>
      <c r="J27" s="32">
        <f>Table1[[#This Row],[Target]]/Table1[[#This Row],[Price]]</f>
        <v>100.21428571428571</v>
      </c>
      <c r="K27">
        <v>3.99</v>
      </c>
    </row>
    <row r="28" spans="1:11" hidden="1">
      <c r="A28">
        <v>3</v>
      </c>
      <c r="B28" t="s">
        <v>3</v>
      </c>
      <c r="C28">
        <v>3</v>
      </c>
      <c r="D28" t="s">
        <v>53</v>
      </c>
      <c r="E28">
        <v>3</v>
      </c>
      <c r="F28" t="s">
        <v>88</v>
      </c>
      <c r="G28">
        <f>356</f>
        <v>356</v>
      </c>
      <c r="H28" s="33">
        <f>375*1.159-50</f>
        <v>384.625</v>
      </c>
      <c r="I28">
        <f>70</f>
        <v>70</v>
      </c>
      <c r="J28" s="32">
        <f>Table1[[#This Row],[Target]]/Table1[[#This Row],[Price]]</f>
        <v>75.564833005893917</v>
      </c>
      <c r="K28">
        <v>5.09</v>
      </c>
    </row>
    <row r="29" spans="1:11" hidden="1">
      <c r="A29">
        <v>3</v>
      </c>
      <c r="B29" t="s">
        <v>4</v>
      </c>
      <c r="C29">
        <v>1</v>
      </c>
      <c r="D29" t="s">
        <v>51</v>
      </c>
      <c r="E29">
        <v>1</v>
      </c>
      <c r="F29" t="s">
        <v>69</v>
      </c>
      <c r="G29">
        <f>322</f>
        <v>322</v>
      </c>
      <c r="H29" s="33">
        <f>300*0.582</f>
        <v>174.6</v>
      </c>
      <c r="I29">
        <f>180</f>
        <v>180</v>
      </c>
      <c r="J29" s="32">
        <f>Table1[[#This Row],[Target]]/Table1[[#This Row],[Price]]</f>
        <v>97.541899441340775</v>
      </c>
      <c r="K29" s="14">
        <v>1.79</v>
      </c>
    </row>
    <row r="30" spans="1:11" hidden="1">
      <c r="A30">
        <v>1</v>
      </c>
      <c r="B30" t="s">
        <v>4</v>
      </c>
      <c r="C30">
        <v>1</v>
      </c>
      <c r="D30" t="s">
        <v>51</v>
      </c>
      <c r="E30">
        <v>2</v>
      </c>
      <c r="F30" t="s">
        <v>121</v>
      </c>
      <c r="G30">
        <f>399</f>
        <v>399</v>
      </c>
      <c r="H30" s="33">
        <f>380*0.582</f>
        <v>221.16</v>
      </c>
      <c r="I30">
        <f>100</f>
        <v>100</v>
      </c>
      <c r="J30" s="32">
        <f>Table1[[#This Row],[Target]]/Table1[[#This Row],[Price]]</f>
        <v>55.428571428571423</v>
      </c>
      <c r="K30">
        <v>3.99</v>
      </c>
    </row>
    <row r="31" spans="1:11">
      <c r="A31">
        <v>1</v>
      </c>
      <c r="B31" t="s">
        <v>4</v>
      </c>
      <c r="C31">
        <v>1</v>
      </c>
      <c r="D31" t="s">
        <v>51</v>
      </c>
      <c r="E31">
        <v>3</v>
      </c>
      <c r="F31" t="s">
        <v>122</v>
      </c>
      <c r="G31">
        <f>143</f>
        <v>143</v>
      </c>
      <c r="H31" s="33">
        <f>170*0.582</f>
        <v>98.94</v>
      </c>
      <c r="I31">
        <f>85</f>
        <v>85</v>
      </c>
      <c r="J31" s="32">
        <f>Table1[[#This Row],[Target]]/Table1[[#This Row],[Price]]</f>
        <v>58.544378698224854</v>
      </c>
      <c r="K31">
        <v>1.69</v>
      </c>
    </row>
    <row r="32" spans="1:11" hidden="1">
      <c r="A32">
        <v>1</v>
      </c>
      <c r="B32" t="s">
        <v>4</v>
      </c>
      <c r="C32">
        <v>2</v>
      </c>
      <c r="D32" t="s">
        <v>52</v>
      </c>
      <c r="E32">
        <v>1</v>
      </c>
      <c r="F32" t="s">
        <v>78</v>
      </c>
      <c r="G32">
        <f>539</f>
        <v>539</v>
      </c>
      <c r="H32" s="33">
        <f>525*1.0552</f>
        <v>553.9799999999999</v>
      </c>
      <c r="I32">
        <f>90</f>
        <v>90</v>
      </c>
      <c r="J32" s="32">
        <f>Table1[[#This Row],[Target]]/Table1[[#This Row],[Price]]</f>
        <v>92.484140233722854</v>
      </c>
      <c r="K32">
        <v>5.99</v>
      </c>
    </row>
    <row r="33" spans="1:11" hidden="1">
      <c r="A33">
        <v>1</v>
      </c>
      <c r="B33" t="s">
        <v>4</v>
      </c>
      <c r="C33">
        <v>2</v>
      </c>
      <c r="D33" t="s">
        <v>52</v>
      </c>
      <c r="E33">
        <v>2</v>
      </c>
      <c r="F33" t="s">
        <v>79</v>
      </c>
      <c r="G33">
        <f>169</f>
        <v>169</v>
      </c>
      <c r="H33" s="33">
        <f>180*1.0552</f>
        <v>189.93599999999998</v>
      </c>
      <c r="I33">
        <f>85</f>
        <v>85</v>
      </c>
      <c r="J33" s="32">
        <f>Table1[[#This Row],[Target]]/Table1[[#This Row],[Price]]</f>
        <v>95.445226130653253</v>
      </c>
      <c r="K33">
        <v>1.99</v>
      </c>
    </row>
    <row r="34" spans="1:11" hidden="1">
      <c r="A34">
        <v>1</v>
      </c>
      <c r="B34" t="s">
        <v>4</v>
      </c>
      <c r="C34">
        <v>2</v>
      </c>
      <c r="D34" t="s">
        <v>52</v>
      </c>
      <c r="E34">
        <v>3</v>
      </c>
      <c r="F34" t="s">
        <v>80</v>
      </c>
      <c r="G34">
        <f>69</f>
        <v>69</v>
      </c>
      <c r="H34" s="33">
        <f>80*1.0552</f>
        <v>84.415999999999997</v>
      </c>
      <c r="I34">
        <f>70</f>
        <v>70</v>
      </c>
      <c r="J34" s="32">
        <f>Table1[[#This Row],[Target]]/Table1[[#This Row],[Price]]</f>
        <v>85.268686868686871</v>
      </c>
      <c r="K34">
        <v>0.99</v>
      </c>
    </row>
    <row r="35" spans="1:11" hidden="1">
      <c r="A35">
        <v>1</v>
      </c>
      <c r="B35" t="s">
        <v>4</v>
      </c>
      <c r="C35">
        <v>3</v>
      </c>
      <c r="D35" t="s">
        <v>53</v>
      </c>
      <c r="E35">
        <v>1</v>
      </c>
      <c r="F35" t="s">
        <v>111</v>
      </c>
      <c r="G35">
        <f>564</f>
        <v>564</v>
      </c>
      <c r="H35" s="33">
        <f>550*1.0555</f>
        <v>580.52500000000009</v>
      </c>
      <c r="I35">
        <f>87</f>
        <v>87</v>
      </c>
      <c r="J35" s="32">
        <f>Table1[[#This Row],[Target]]/Table1[[#This Row],[Price]]</f>
        <v>89.449152542372886</v>
      </c>
      <c r="K35">
        <v>6.49</v>
      </c>
    </row>
    <row r="36" spans="1:11" hidden="1">
      <c r="A36">
        <v>1</v>
      </c>
      <c r="B36" t="s">
        <v>4</v>
      </c>
      <c r="C36">
        <v>3</v>
      </c>
      <c r="D36" t="s">
        <v>53</v>
      </c>
      <c r="E36">
        <v>2</v>
      </c>
      <c r="F36" t="s">
        <v>112</v>
      </c>
      <c r="G36">
        <f>319</f>
        <v>319</v>
      </c>
      <c r="H36" s="33">
        <f>345*1.0555-50</f>
        <v>314.14750000000004</v>
      </c>
      <c r="I36">
        <f>80</f>
        <v>80</v>
      </c>
      <c r="J36" s="32">
        <f>Table1[[#This Row],[Target]]/Table1[[#This Row],[Price]]</f>
        <v>78.733709273182967</v>
      </c>
      <c r="K36">
        <v>3.99</v>
      </c>
    </row>
    <row r="37" spans="1:11" hidden="1">
      <c r="A37">
        <v>1</v>
      </c>
      <c r="B37" t="s">
        <v>4</v>
      </c>
      <c r="C37">
        <v>3</v>
      </c>
      <c r="D37" t="s">
        <v>53</v>
      </c>
      <c r="E37">
        <v>3</v>
      </c>
      <c r="F37" t="s">
        <v>88</v>
      </c>
      <c r="G37">
        <f>356</f>
        <v>356</v>
      </c>
      <c r="H37" s="33">
        <f>375*1.0555-50</f>
        <v>345.81250000000006</v>
      </c>
      <c r="I37">
        <f>70</f>
        <v>70</v>
      </c>
      <c r="J37" s="32">
        <f>Table1[[#This Row],[Target]]/Table1[[#This Row],[Price]]</f>
        <v>67.939587426326142</v>
      </c>
      <c r="K37">
        <v>5.09</v>
      </c>
    </row>
    <row r="38" spans="1:11" hidden="1">
      <c r="A38">
        <v>1</v>
      </c>
      <c r="B38" t="s">
        <v>5</v>
      </c>
      <c r="C38">
        <v>1</v>
      </c>
      <c r="D38" t="s">
        <v>51</v>
      </c>
      <c r="E38">
        <v>1</v>
      </c>
      <c r="F38" t="s">
        <v>69</v>
      </c>
      <c r="G38">
        <f>322</f>
        <v>322</v>
      </c>
      <c r="H38" s="33">
        <f>300*1.0472</f>
        <v>314.15999999999997</v>
      </c>
      <c r="I38">
        <f>180</f>
        <v>180</v>
      </c>
      <c r="J38" s="32">
        <f>Table1[[#This Row],[Target]]/Table1[[#This Row],[Price]]</f>
        <v>175.50837988826814</v>
      </c>
      <c r="K38" s="14">
        <v>1.79</v>
      </c>
    </row>
    <row r="39" spans="1:11" hidden="1">
      <c r="A39">
        <v>1</v>
      </c>
      <c r="B39" t="s">
        <v>5</v>
      </c>
      <c r="C39">
        <v>1</v>
      </c>
      <c r="D39" t="s">
        <v>51</v>
      </c>
      <c r="E39">
        <v>2</v>
      </c>
      <c r="F39" t="s">
        <v>121</v>
      </c>
      <c r="G39">
        <f>399</f>
        <v>399</v>
      </c>
      <c r="H39" s="33">
        <f>380*1.0472-50</f>
        <v>347.93599999999998</v>
      </c>
      <c r="I39">
        <f>100</f>
        <v>100</v>
      </c>
      <c r="J39" s="32">
        <f>Table1[[#This Row],[Target]]/Table1[[#This Row],[Price]]</f>
        <v>87.202005012531316</v>
      </c>
      <c r="K39">
        <v>3.99</v>
      </c>
    </row>
    <row r="40" spans="1:11">
      <c r="A40">
        <v>1</v>
      </c>
      <c r="B40" t="s">
        <v>5</v>
      </c>
      <c r="C40">
        <v>1</v>
      </c>
      <c r="D40" t="s">
        <v>51</v>
      </c>
      <c r="E40">
        <v>3</v>
      </c>
      <c r="F40" t="s">
        <v>122</v>
      </c>
      <c r="G40">
        <f>143</f>
        <v>143</v>
      </c>
      <c r="H40" s="33">
        <f>170*1.0472</f>
        <v>178.02399999999997</v>
      </c>
      <c r="I40">
        <f>85</f>
        <v>85</v>
      </c>
      <c r="J40" s="32">
        <f>Table1[[#This Row],[Target]]/Table1[[#This Row],[Price]]</f>
        <v>105.33964497041418</v>
      </c>
      <c r="K40">
        <v>1.69</v>
      </c>
    </row>
    <row r="41" spans="1:11" hidden="1">
      <c r="A41">
        <v>1</v>
      </c>
      <c r="B41" t="s">
        <v>5</v>
      </c>
      <c r="C41">
        <v>2</v>
      </c>
      <c r="D41" t="s">
        <v>52</v>
      </c>
      <c r="E41">
        <v>1</v>
      </c>
      <c r="F41" t="s">
        <v>78</v>
      </c>
      <c r="G41">
        <f>539</f>
        <v>539</v>
      </c>
      <c r="H41" s="33">
        <f>525*1.0289</f>
        <v>540.17250000000001</v>
      </c>
      <c r="I41">
        <f>90</f>
        <v>90</v>
      </c>
      <c r="J41" s="32">
        <f>Table1[[#This Row],[Target]]/Table1[[#This Row],[Price]]</f>
        <v>90.17904841402337</v>
      </c>
      <c r="K41">
        <v>5.99</v>
      </c>
    </row>
    <row r="42" spans="1:11" hidden="1">
      <c r="A42">
        <v>1</v>
      </c>
      <c r="B42" t="s">
        <v>5</v>
      </c>
      <c r="C42">
        <v>2</v>
      </c>
      <c r="D42" t="s">
        <v>52</v>
      </c>
      <c r="E42">
        <v>2</v>
      </c>
      <c r="F42" t="s">
        <v>79</v>
      </c>
      <c r="G42">
        <f>169</f>
        <v>169</v>
      </c>
      <c r="H42" s="33">
        <f>180*1.0289-50</f>
        <v>135.202</v>
      </c>
      <c r="I42">
        <f>85</f>
        <v>85</v>
      </c>
      <c r="J42" s="32">
        <f>Table1[[#This Row],[Target]]/Table1[[#This Row],[Price]]</f>
        <v>67.940703517587934</v>
      </c>
      <c r="K42">
        <v>1.99</v>
      </c>
    </row>
    <row r="43" spans="1:11" hidden="1">
      <c r="A43">
        <v>1</v>
      </c>
      <c r="B43" t="s">
        <v>5</v>
      </c>
      <c r="C43">
        <v>2</v>
      </c>
      <c r="D43" t="s">
        <v>52</v>
      </c>
      <c r="E43">
        <v>3</v>
      </c>
      <c r="F43" t="s">
        <v>80</v>
      </c>
      <c r="G43">
        <f>69</f>
        <v>69</v>
      </c>
      <c r="H43" s="33">
        <f>80*1.0289</f>
        <v>82.311999999999998</v>
      </c>
      <c r="I43">
        <f>70</f>
        <v>70</v>
      </c>
      <c r="J43" s="32">
        <f>Table1[[#This Row],[Target]]/Table1[[#This Row],[Price]]</f>
        <v>83.143434343434336</v>
      </c>
      <c r="K43">
        <v>0.99</v>
      </c>
    </row>
    <row r="44" spans="1:11" hidden="1">
      <c r="A44">
        <v>1</v>
      </c>
      <c r="B44" t="s">
        <v>5</v>
      </c>
      <c r="C44">
        <v>3</v>
      </c>
      <c r="D44" t="s">
        <v>53</v>
      </c>
      <c r="E44">
        <v>1</v>
      </c>
      <c r="F44" t="s">
        <v>111</v>
      </c>
      <c r="G44">
        <f>564</f>
        <v>564</v>
      </c>
      <c r="H44" s="33">
        <f>550*0.404</f>
        <v>222.20000000000002</v>
      </c>
      <c r="I44">
        <f>87</f>
        <v>87</v>
      </c>
      <c r="J44" s="32">
        <f>Table1[[#This Row],[Target]]/Table1[[#This Row],[Price]]</f>
        <v>34.237288135593225</v>
      </c>
      <c r="K44">
        <v>6.49</v>
      </c>
    </row>
    <row r="45" spans="1:11" hidden="1">
      <c r="A45">
        <v>1</v>
      </c>
      <c r="B45" t="s">
        <v>5</v>
      </c>
      <c r="C45">
        <v>3</v>
      </c>
      <c r="D45" t="s">
        <v>53</v>
      </c>
      <c r="E45">
        <v>2</v>
      </c>
      <c r="F45" t="s">
        <v>112</v>
      </c>
      <c r="G45">
        <f>319</f>
        <v>319</v>
      </c>
      <c r="H45" s="33">
        <f>345*0.404+60</f>
        <v>199.38</v>
      </c>
      <c r="I45">
        <f>80</f>
        <v>80</v>
      </c>
      <c r="J45" s="32">
        <f>Table1[[#This Row],[Target]]/Table1[[#This Row],[Price]]</f>
        <v>49.969924812030072</v>
      </c>
      <c r="K45">
        <v>3.99</v>
      </c>
    </row>
    <row r="46" spans="1:11" hidden="1">
      <c r="A46">
        <v>1</v>
      </c>
      <c r="B46" t="s">
        <v>5</v>
      </c>
      <c r="C46">
        <v>3</v>
      </c>
      <c r="D46" t="s">
        <v>53</v>
      </c>
      <c r="E46">
        <v>3</v>
      </c>
      <c r="F46" t="s">
        <v>88</v>
      </c>
      <c r="G46">
        <f>356</f>
        <v>356</v>
      </c>
      <c r="H46" s="33">
        <f>375*0.404+160</f>
        <v>311.5</v>
      </c>
      <c r="I46">
        <f>70</f>
        <v>70</v>
      </c>
      <c r="J46" s="32">
        <f>Table1[[#This Row],[Target]]/Table1[[#This Row],[Price]]</f>
        <v>61.198428290766209</v>
      </c>
      <c r="K46">
        <v>5.09</v>
      </c>
    </row>
    <row r="47" spans="1:11" hidden="1">
      <c r="A47">
        <v>1</v>
      </c>
      <c r="B47" t="s">
        <v>6</v>
      </c>
      <c r="C47">
        <v>1</v>
      </c>
      <c r="D47" t="s">
        <v>51</v>
      </c>
      <c r="E47">
        <v>1</v>
      </c>
      <c r="F47" t="s">
        <v>69</v>
      </c>
      <c r="G47">
        <f>322</f>
        <v>322</v>
      </c>
      <c r="H47" s="33">
        <f>300*1.075</f>
        <v>322.5</v>
      </c>
      <c r="I47">
        <f>180</f>
        <v>180</v>
      </c>
      <c r="J47" s="32">
        <f>Table1[[#This Row],[Target]]/Table1[[#This Row],[Price]]</f>
        <v>180.16759776536313</v>
      </c>
      <c r="K47" s="14">
        <v>1.79</v>
      </c>
    </row>
    <row r="48" spans="1:11" hidden="1">
      <c r="A48">
        <v>1</v>
      </c>
      <c r="B48" t="s">
        <v>6</v>
      </c>
      <c r="C48">
        <v>1</v>
      </c>
      <c r="D48" t="s">
        <v>51</v>
      </c>
      <c r="E48">
        <v>2</v>
      </c>
      <c r="F48" t="s">
        <v>121</v>
      </c>
      <c r="G48">
        <f>399</f>
        <v>399</v>
      </c>
      <c r="H48" s="33">
        <f>380*1.075-50</f>
        <v>358.5</v>
      </c>
      <c r="I48">
        <f>100</f>
        <v>100</v>
      </c>
      <c r="J48" s="32">
        <f>Table1[[#This Row],[Target]]/Table1[[#This Row],[Price]]</f>
        <v>89.849624060150376</v>
      </c>
      <c r="K48">
        <v>3.99</v>
      </c>
    </row>
    <row r="49" spans="1:11">
      <c r="A49">
        <v>1</v>
      </c>
      <c r="B49" t="s">
        <v>6</v>
      </c>
      <c r="C49">
        <v>1</v>
      </c>
      <c r="D49" t="s">
        <v>51</v>
      </c>
      <c r="E49">
        <v>3</v>
      </c>
      <c r="F49" t="s">
        <v>122</v>
      </c>
      <c r="G49">
        <f>143</f>
        <v>143</v>
      </c>
      <c r="H49" s="33">
        <f>170*1.075</f>
        <v>182.75</v>
      </c>
      <c r="I49">
        <f>85</f>
        <v>85</v>
      </c>
      <c r="J49" s="32">
        <f>Table1[[#This Row],[Target]]/Table1[[#This Row],[Price]]</f>
        <v>108.13609467455622</v>
      </c>
      <c r="K49">
        <v>1.69</v>
      </c>
    </row>
    <row r="50" spans="1:11" hidden="1">
      <c r="A50">
        <v>1</v>
      </c>
      <c r="B50" t="s">
        <v>6</v>
      </c>
      <c r="C50">
        <v>2</v>
      </c>
      <c r="D50" t="s">
        <v>52</v>
      </c>
      <c r="E50">
        <v>1</v>
      </c>
      <c r="F50" t="s">
        <v>78</v>
      </c>
      <c r="G50">
        <f>539</f>
        <v>539</v>
      </c>
      <c r="H50" s="33">
        <f>525*1.114</f>
        <v>584.85</v>
      </c>
      <c r="I50">
        <f>90</f>
        <v>90</v>
      </c>
      <c r="J50" s="32">
        <f>Table1[[#This Row],[Target]]/Table1[[#This Row],[Price]]</f>
        <v>97.637729549248746</v>
      </c>
      <c r="K50">
        <v>5.99</v>
      </c>
    </row>
    <row r="51" spans="1:11" hidden="1">
      <c r="A51">
        <v>1</v>
      </c>
      <c r="B51" t="s">
        <v>6</v>
      </c>
      <c r="C51">
        <v>2</v>
      </c>
      <c r="D51" t="s">
        <v>52</v>
      </c>
      <c r="E51">
        <v>2</v>
      </c>
      <c r="F51" t="s">
        <v>79</v>
      </c>
      <c r="G51">
        <f>169</f>
        <v>169</v>
      </c>
      <c r="H51" s="33">
        <f>180*1.114-50</f>
        <v>150.52000000000001</v>
      </c>
      <c r="I51">
        <f>85</f>
        <v>85</v>
      </c>
      <c r="J51" s="32">
        <f>Table1[[#This Row],[Target]]/Table1[[#This Row],[Price]]</f>
        <v>75.638190954773876</v>
      </c>
      <c r="K51">
        <v>1.99</v>
      </c>
    </row>
    <row r="52" spans="1:11" hidden="1">
      <c r="A52">
        <v>1</v>
      </c>
      <c r="B52" t="s">
        <v>6</v>
      </c>
      <c r="C52">
        <v>2</v>
      </c>
      <c r="D52" t="s">
        <v>52</v>
      </c>
      <c r="E52">
        <v>3</v>
      </c>
      <c r="F52" t="s">
        <v>80</v>
      </c>
      <c r="G52">
        <f>69</f>
        <v>69</v>
      </c>
      <c r="H52" s="33">
        <f>80*1.114</f>
        <v>89.12</v>
      </c>
      <c r="I52">
        <f>70</f>
        <v>70</v>
      </c>
      <c r="J52" s="32">
        <f>Table1[[#This Row],[Target]]/Table1[[#This Row],[Price]]</f>
        <v>90.020202020202021</v>
      </c>
      <c r="K52">
        <v>0.99</v>
      </c>
    </row>
    <row r="53" spans="1:11" hidden="1">
      <c r="A53">
        <v>1</v>
      </c>
      <c r="B53" t="s">
        <v>6</v>
      </c>
      <c r="C53">
        <v>3</v>
      </c>
      <c r="D53" t="s">
        <v>53</v>
      </c>
      <c r="E53">
        <v>1</v>
      </c>
      <c r="F53" t="s">
        <v>111</v>
      </c>
      <c r="G53">
        <f>564</f>
        <v>564</v>
      </c>
      <c r="H53" s="33">
        <f>550*1.0854</f>
        <v>596.96999999999991</v>
      </c>
      <c r="I53">
        <f>87</f>
        <v>87</v>
      </c>
      <c r="J53" s="32">
        <f>Table1[[#This Row],[Target]]/Table1[[#This Row],[Price]]</f>
        <v>91.983050847457605</v>
      </c>
      <c r="K53">
        <v>6.49</v>
      </c>
    </row>
    <row r="54" spans="1:11" hidden="1">
      <c r="A54">
        <v>1</v>
      </c>
      <c r="B54" t="s">
        <v>6</v>
      </c>
      <c r="C54">
        <v>3</v>
      </c>
      <c r="D54" t="s">
        <v>53</v>
      </c>
      <c r="E54">
        <v>2</v>
      </c>
      <c r="F54" t="s">
        <v>112</v>
      </c>
      <c r="G54">
        <f>319</f>
        <v>319</v>
      </c>
      <c r="H54" s="33">
        <f>345*1.0854-50</f>
        <v>324.46299999999997</v>
      </c>
      <c r="I54">
        <f>80</f>
        <v>80</v>
      </c>
      <c r="J54" s="32">
        <f>Table1[[#This Row],[Target]]/Table1[[#This Row],[Price]]</f>
        <v>81.319047619047609</v>
      </c>
      <c r="K54">
        <v>3.99</v>
      </c>
    </row>
    <row r="55" spans="1:11" hidden="1">
      <c r="A55">
        <v>1</v>
      </c>
      <c r="B55" t="s">
        <v>6</v>
      </c>
      <c r="C55">
        <v>3</v>
      </c>
      <c r="D55" t="s">
        <v>53</v>
      </c>
      <c r="E55">
        <v>3</v>
      </c>
      <c r="F55" t="s">
        <v>88</v>
      </c>
      <c r="G55">
        <f>356</f>
        <v>356</v>
      </c>
      <c r="H55" s="33">
        <f>375*1.0854</f>
        <v>407.02499999999998</v>
      </c>
      <c r="I55">
        <f>70</f>
        <v>70</v>
      </c>
      <c r="J55" s="32">
        <f>Table1[[#This Row],[Target]]/Table1[[#This Row],[Price]]</f>
        <v>79.965618860510801</v>
      </c>
      <c r="K55">
        <v>5.09</v>
      </c>
    </row>
    <row r="56" spans="1:11" hidden="1">
      <c r="A56">
        <v>1</v>
      </c>
      <c r="B56" t="s">
        <v>7</v>
      </c>
      <c r="C56">
        <v>1</v>
      </c>
      <c r="D56" t="s">
        <v>51</v>
      </c>
      <c r="E56">
        <v>1</v>
      </c>
      <c r="F56" t="s">
        <v>69</v>
      </c>
      <c r="G56">
        <f>322</f>
        <v>322</v>
      </c>
      <c r="H56" s="33">
        <f>300*1.0496</f>
        <v>314.88000000000005</v>
      </c>
      <c r="I56">
        <f>180</f>
        <v>180</v>
      </c>
      <c r="J56" s="32">
        <f>Table1[[#This Row],[Target]]/Table1[[#This Row],[Price]]</f>
        <v>175.91061452513969</v>
      </c>
      <c r="K56" s="14">
        <v>1.79</v>
      </c>
    </row>
    <row r="57" spans="1:11" hidden="1">
      <c r="A57">
        <v>1</v>
      </c>
      <c r="B57" t="s">
        <v>7</v>
      </c>
      <c r="C57">
        <v>1</v>
      </c>
      <c r="D57" t="s">
        <v>51</v>
      </c>
      <c r="E57">
        <v>2</v>
      </c>
      <c r="F57" t="s">
        <v>121</v>
      </c>
      <c r="G57">
        <f>399</f>
        <v>399</v>
      </c>
      <c r="H57" s="33">
        <f>380*1.0496-50</f>
        <v>348.84800000000001</v>
      </c>
      <c r="I57">
        <f>100</f>
        <v>100</v>
      </c>
      <c r="J57" s="32">
        <f>Table1[[#This Row],[Target]]/Table1[[#This Row],[Price]]</f>
        <v>87.430576441102758</v>
      </c>
      <c r="K57">
        <v>3.99</v>
      </c>
    </row>
    <row r="58" spans="1:11">
      <c r="A58">
        <v>1</v>
      </c>
      <c r="B58" t="s">
        <v>7</v>
      </c>
      <c r="C58">
        <v>1</v>
      </c>
      <c r="D58" t="s">
        <v>51</v>
      </c>
      <c r="E58">
        <v>3</v>
      </c>
      <c r="F58" t="s">
        <v>122</v>
      </c>
      <c r="G58">
        <f>143</f>
        <v>143</v>
      </c>
      <c r="H58" s="33">
        <f>170*1.0496</f>
        <v>178.43200000000002</v>
      </c>
      <c r="I58">
        <f>85</f>
        <v>85</v>
      </c>
      <c r="J58" s="32">
        <f>Table1[[#This Row],[Target]]/Table1[[#This Row],[Price]]</f>
        <v>105.58106508875741</v>
      </c>
      <c r="K58">
        <v>1.69</v>
      </c>
    </row>
    <row r="59" spans="1:11" hidden="1">
      <c r="A59">
        <v>1</v>
      </c>
      <c r="B59" t="s">
        <v>7</v>
      </c>
      <c r="C59">
        <v>2</v>
      </c>
      <c r="D59" t="s">
        <v>52</v>
      </c>
      <c r="E59">
        <v>1</v>
      </c>
      <c r="F59" t="s">
        <v>78</v>
      </c>
      <c r="G59">
        <f>539</f>
        <v>539</v>
      </c>
      <c r="H59" s="33">
        <f>525*1.0412</f>
        <v>546.63</v>
      </c>
      <c r="I59">
        <f>90</f>
        <v>90</v>
      </c>
      <c r="J59" s="32">
        <f>Table1[[#This Row],[Target]]/Table1[[#This Row],[Price]]</f>
        <v>91.257095158597664</v>
      </c>
      <c r="K59">
        <v>5.99</v>
      </c>
    </row>
    <row r="60" spans="1:11" hidden="1">
      <c r="A60">
        <v>1</v>
      </c>
      <c r="B60" t="s">
        <v>7</v>
      </c>
      <c r="C60">
        <v>2</v>
      </c>
      <c r="D60" t="s">
        <v>52</v>
      </c>
      <c r="E60">
        <v>2</v>
      </c>
      <c r="F60" t="s">
        <v>79</v>
      </c>
      <c r="G60">
        <f>169</f>
        <v>169</v>
      </c>
      <c r="H60" s="33">
        <f>180*1.0412</f>
        <v>187.416</v>
      </c>
      <c r="I60">
        <f>85</f>
        <v>85</v>
      </c>
      <c r="J60" s="32">
        <f>Table1[[#This Row],[Target]]/Table1[[#This Row],[Price]]</f>
        <v>94.178894472361804</v>
      </c>
      <c r="K60">
        <v>1.99</v>
      </c>
    </row>
    <row r="61" spans="1:11" hidden="1">
      <c r="A61">
        <v>1</v>
      </c>
      <c r="B61" t="s">
        <v>7</v>
      </c>
      <c r="C61">
        <v>2</v>
      </c>
      <c r="D61" t="s">
        <v>52</v>
      </c>
      <c r="E61">
        <v>3</v>
      </c>
      <c r="F61" t="s">
        <v>80</v>
      </c>
      <c r="G61">
        <f>69</f>
        <v>69</v>
      </c>
      <c r="H61" s="33">
        <f>80*1.0412</f>
        <v>83.295999999999992</v>
      </c>
      <c r="I61">
        <f>70</f>
        <v>70</v>
      </c>
      <c r="J61" s="32">
        <f>Table1[[#This Row],[Target]]/Table1[[#This Row],[Price]]</f>
        <v>84.137373737373736</v>
      </c>
      <c r="K61">
        <v>0.99</v>
      </c>
    </row>
    <row r="62" spans="1:11" hidden="1">
      <c r="A62">
        <v>1</v>
      </c>
      <c r="B62" t="s">
        <v>7</v>
      </c>
      <c r="C62">
        <v>3</v>
      </c>
      <c r="D62" t="s">
        <v>53</v>
      </c>
      <c r="E62">
        <v>1</v>
      </c>
      <c r="F62" t="s">
        <v>111</v>
      </c>
      <c r="G62">
        <f>564</f>
        <v>564</v>
      </c>
      <c r="H62" s="33">
        <f>550*0.451+160</f>
        <v>408.05</v>
      </c>
      <c r="I62">
        <f>87</f>
        <v>87</v>
      </c>
      <c r="J62" s="32">
        <f>Table1[[#This Row],[Target]]/Table1[[#This Row],[Price]]</f>
        <v>62.873651771956858</v>
      </c>
      <c r="K62">
        <v>6.49</v>
      </c>
    </row>
    <row r="63" spans="1:11" hidden="1">
      <c r="A63">
        <v>1</v>
      </c>
      <c r="B63" t="s">
        <v>7</v>
      </c>
      <c r="C63">
        <v>3</v>
      </c>
      <c r="D63" t="s">
        <v>53</v>
      </c>
      <c r="E63">
        <v>2</v>
      </c>
      <c r="F63" t="s">
        <v>112</v>
      </c>
      <c r="G63">
        <f>319</f>
        <v>319</v>
      </c>
      <c r="H63" s="33">
        <f>345*0.451+134</f>
        <v>289.59500000000003</v>
      </c>
      <c r="I63">
        <f>80</f>
        <v>80</v>
      </c>
      <c r="J63" s="32">
        <f>Table1[[#This Row],[Target]]/Table1[[#This Row],[Price]]</f>
        <v>72.580200501253131</v>
      </c>
      <c r="K63">
        <v>3.99</v>
      </c>
    </row>
    <row r="64" spans="1:11" hidden="1">
      <c r="A64">
        <v>1</v>
      </c>
      <c r="B64" t="s">
        <v>7</v>
      </c>
      <c r="C64">
        <v>3</v>
      </c>
      <c r="D64" t="s">
        <v>53</v>
      </c>
      <c r="E64">
        <v>3</v>
      </c>
      <c r="F64" t="s">
        <v>88</v>
      </c>
      <c r="G64">
        <f>356</f>
        <v>356</v>
      </c>
      <c r="H64" s="33">
        <f>375*0.451+175</f>
        <v>344.125</v>
      </c>
      <c r="I64">
        <f>70</f>
        <v>70</v>
      </c>
      <c r="J64" s="32">
        <f>Table1[[#This Row],[Target]]/Table1[[#This Row],[Price]]</f>
        <v>67.60805500982319</v>
      </c>
      <c r="K64">
        <v>5.09</v>
      </c>
    </row>
    <row r="65" spans="1:11" hidden="1">
      <c r="A65">
        <v>1</v>
      </c>
      <c r="B65" t="s">
        <v>8</v>
      </c>
      <c r="C65">
        <v>1</v>
      </c>
      <c r="D65" t="s">
        <v>51</v>
      </c>
      <c r="E65">
        <v>1</v>
      </c>
      <c r="F65" t="s">
        <v>69</v>
      </c>
      <c r="G65">
        <f>322</f>
        <v>322</v>
      </c>
      <c r="H65" s="33">
        <f>300*0.839</f>
        <v>251.7</v>
      </c>
      <c r="I65">
        <f>180</f>
        <v>180</v>
      </c>
      <c r="J65" s="32">
        <f>Table1[[#This Row],[Target]]/Table1[[#This Row],[Price]]</f>
        <v>140.61452513966481</v>
      </c>
      <c r="K65" s="14">
        <v>1.79</v>
      </c>
    </row>
    <row r="66" spans="1:11" hidden="1">
      <c r="A66">
        <v>1</v>
      </c>
      <c r="B66" t="s">
        <v>8</v>
      </c>
      <c r="C66">
        <v>1</v>
      </c>
      <c r="D66" t="s">
        <v>51</v>
      </c>
      <c r="E66">
        <v>2</v>
      </c>
      <c r="F66" t="s">
        <v>121</v>
      </c>
      <c r="G66">
        <f>399</f>
        <v>399</v>
      </c>
      <c r="H66" s="33">
        <f>380*0.839</f>
        <v>318.82</v>
      </c>
      <c r="I66">
        <f>100</f>
        <v>100</v>
      </c>
      <c r="J66" s="32">
        <f>Table1[[#This Row],[Target]]/Table1[[#This Row],[Price]]</f>
        <v>79.904761904761898</v>
      </c>
      <c r="K66">
        <v>3.99</v>
      </c>
    </row>
    <row r="67" spans="1:11">
      <c r="A67">
        <v>1</v>
      </c>
      <c r="B67" t="s">
        <v>8</v>
      </c>
      <c r="C67">
        <v>1</v>
      </c>
      <c r="D67" t="s">
        <v>51</v>
      </c>
      <c r="E67">
        <v>3</v>
      </c>
      <c r="F67" t="s">
        <v>122</v>
      </c>
      <c r="G67">
        <f>143</f>
        <v>143</v>
      </c>
      <c r="H67" s="33">
        <f>170*0.839</f>
        <v>142.63</v>
      </c>
      <c r="I67">
        <f>85</f>
        <v>85</v>
      </c>
      <c r="J67" s="32">
        <f>Table1[[#This Row],[Target]]/Table1[[#This Row],[Price]]</f>
        <v>84.396449704142015</v>
      </c>
      <c r="K67">
        <v>1.69</v>
      </c>
    </row>
    <row r="68" spans="1:11" hidden="1">
      <c r="A68">
        <v>1</v>
      </c>
      <c r="B68" t="s">
        <v>8</v>
      </c>
      <c r="C68">
        <v>2</v>
      </c>
      <c r="D68" t="s">
        <v>52</v>
      </c>
      <c r="E68">
        <v>1</v>
      </c>
      <c r="F68" t="s">
        <v>78</v>
      </c>
      <c r="G68">
        <f>539</f>
        <v>539</v>
      </c>
      <c r="H68" s="33">
        <f>525*1.0131</f>
        <v>531.87749999999994</v>
      </c>
      <c r="I68">
        <f>90</f>
        <v>90</v>
      </c>
      <c r="J68" s="32">
        <f>Table1[[#This Row],[Target]]/Table1[[#This Row],[Price]]</f>
        <v>88.794240400667761</v>
      </c>
      <c r="K68">
        <v>5.99</v>
      </c>
    </row>
    <row r="69" spans="1:11" hidden="1">
      <c r="A69">
        <v>1</v>
      </c>
      <c r="B69" t="s">
        <v>8</v>
      </c>
      <c r="C69">
        <v>2</v>
      </c>
      <c r="D69" t="s">
        <v>52</v>
      </c>
      <c r="E69">
        <v>2</v>
      </c>
      <c r="F69" t="s">
        <v>79</v>
      </c>
      <c r="G69">
        <f>169</f>
        <v>169</v>
      </c>
      <c r="H69" s="33">
        <f>180*1.0131</f>
        <v>182.35799999999998</v>
      </c>
      <c r="I69">
        <f>85</f>
        <v>85</v>
      </c>
      <c r="J69" s="32">
        <f>Table1[[#This Row],[Target]]/Table1[[#This Row],[Price]]</f>
        <v>91.637185929648226</v>
      </c>
      <c r="K69">
        <v>1.99</v>
      </c>
    </row>
    <row r="70" spans="1:11" hidden="1">
      <c r="A70">
        <v>1</v>
      </c>
      <c r="B70" t="s">
        <v>8</v>
      </c>
      <c r="C70">
        <v>2</v>
      </c>
      <c r="D70" t="s">
        <v>52</v>
      </c>
      <c r="E70">
        <v>3</v>
      </c>
      <c r="F70" t="s">
        <v>80</v>
      </c>
      <c r="G70">
        <f>69</f>
        <v>69</v>
      </c>
      <c r="H70" s="33">
        <f>80*1.0131</f>
        <v>81.047999999999988</v>
      </c>
      <c r="I70">
        <f>70</f>
        <v>70</v>
      </c>
      <c r="J70" s="32">
        <f>Table1[[#This Row],[Target]]/Table1[[#This Row],[Price]]</f>
        <v>81.86666666666666</v>
      </c>
      <c r="K70">
        <v>0.99</v>
      </c>
    </row>
    <row r="71" spans="1:11" hidden="1">
      <c r="A71">
        <v>1</v>
      </c>
      <c r="B71" t="s">
        <v>8</v>
      </c>
      <c r="C71">
        <v>3</v>
      </c>
      <c r="D71" t="s">
        <v>53</v>
      </c>
      <c r="E71">
        <v>1</v>
      </c>
      <c r="F71" t="s">
        <v>111</v>
      </c>
      <c r="G71">
        <f>564</f>
        <v>564</v>
      </c>
      <c r="H71" s="33">
        <f>550*1.138</f>
        <v>625.9</v>
      </c>
      <c r="I71">
        <f>87</f>
        <v>87</v>
      </c>
      <c r="J71" s="32">
        <f>Table1[[#This Row],[Target]]/Table1[[#This Row],[Price]]</f>
        <v>96.440677966101688</v>
      </c>
      <c r="K71">
        <v>6.49</v>
      </c>
    </row>
    <row r="72" spans="1:11" hidden="1">
      <c r="A72">
        <v>1</v>
      </c>
      <c r="B72" t="s">
        <v>8</v>
      </c>
      <c r="C72">
        <v>3</v>
      </c>
      <c r="D72" t="s">
        <v>53</v>
      </c>
      <c r="E72">
        <v>2</v>
      </c>
      <c r="F72" t="s">
        <v>112</v>
      </c>
      <c r="G72">
        <f>319</f>
        <v>319</v>
      </c>
      <c r="H72" s="33">
        <f>345*1.138</f>
        <v>392.60999999999996</v>
      </c>
      <c r="I72">
        <f>80</f>
        <v>80</v>
      </c>
      <c r="J72" s="32">
        <f>Table1[[#This Row],[Target]]/Table1[[#This Row],[Price]]</f>
        <v>98.398496240601489</v>
      </c>
      <c r="K72">
        <v>3.99</v>
      </c>
    </row>
    <row r="73" spans="1:11" hidden="1">
      <c r="A73">
        <v>1</v>
      </c>
      <c r="B73" t="s">
        <v>8</v>
      </c>
      <c r="C73">
        <v>3</v>
      </c>
      <c r="D73" t="s">
        <v>53</v>
      </c>
      <c r="E73">
        <v>3</v>
      </c>
      <c r="F73" t="s">
        <v>88</v>
      </c>
      <c r="G73">
        <f>356</f>
        <v>356</v>
      </c>
      <c r="H73" s="33">
        <f>375*1.138</f>
        <v>426.74999999999994</v>
      </c>
      <c r="I73">
        <f>70</f>
        <v>70</v>
      </c>
      <c r="J73" s="32">
        <f>Table1[[#This Row],[Target]]/Table1[[#This Row],[Price]]</f>
        <v>83.840864440078576</v>
      </c>
      <c r="K73">
        <v>5.09</v>
      </c>
    </row>
    <row r="74" spans="1:11" hidden="1">
      <c r="A74">
        <v>1</v>
      </c>
      <c r="B74" t="s">
        <v>9</v>
      </c>
      <c r="C74">
        <v>1</v>
      </c>
      <c r="D74" t="s">
        <v>51</v>
      </c>
      <c r="E74">
        <v>1</v>
      </c>
      <c r="F74" t="s">
        <v>69</v>
      </c>
      <c r="G74">
        <f>322</f>
        <v>322</v>
      </c>
      <c r="H74" s="33">
        <f>300*1.0312</f>
        <v>309.35999999999996</v>
      </c>
      <c r="I74">
        <f>180</f>
        <v>180</v>
      </c>
      <c r="J74" s="32">
        <f>Table1[[#This Row],[Target]]/Table1[[#This Row],[Price]]</f>
        <v>172.82681564245809</v>
      </c>
      <c r="K74" s="14">
        <v>1.79</v>
      </c>
    </row>
    <row r="75" spans="1:11" hidden="1">
      <c r="A75">
        <v>1</v>
      </c>
      <c r="B75" t="s">
        <v>9</v>
      </c>
      <c r="C75">
        <v>1</v>
      </c>
      <c r="D75" t="s">
        <v>51</v>
      </c>
      <c r="E75">
        <v>2</v>
      </c>
      <c r="F75" t="s">
        <v>121</v>
      </c>
      <c r="G75">
        <f>399</f>
        <v>399</v>
      </c>
      <c r="H75" s="33">
        <f>380*1.0312-50</f>
        <v>341.85599999999994</v>
      </c>
      <c r="I75">
        <f>100</f>
        <v>100</v>
      </c>
      <c r="J75" s="32">
        <f>Table1[[#This Row],[Target]]/Table1[[#This Row],[Price]]</f>
        <v>85.678195488721784</v>
      </c>
      <c r="K75">
        <v>3.99</v>
      </c>
    </row>
    <row r="76" spans="1:11">
      <c r="A76">
        <v>1</v>
      </c>
      <c r="B76" t="s">
        <v>9</v>
      </c>
      <c r="C76">
        <v>1</v>
      </c>
      <c r="D76" t="s">
        <v>51</v>
      </c>
      <c r="E76">
        <v>3</v>
      </c>
      <c r="F76" t="s">
        <v>122</v>
      </c>
      <c r="G76">
        <f>143</f>
        <v>143</v>
      </c>
      <c r="H76" s="33">
        <f>170*1.0312</f>
        <v>175.30399999999997</v>
      </c>
      <c r="I76">
        <f>85</f>
        <v>85</v>
      </c>
      <c r="J76" s="32">
        <f>Table1[[#This Row],[Target]]/Table1[[#This Row],[Price]]</f>
        <v>103.73017751479289</v>
      </c>
      <c r="K76">
        <v>1.69</v>
      </c>
    </row>
    <row r="77" spans="1:11" hidden="1">
      <c r="A77">
        <v>1</v>
      </c>
      <c r="B77" t="s">
        <v>9</v>
      </c>
      <c r="C77">
        <v>2</v>
      </c>
      <c r="D77" t="s">
        <v>52</v>
      </c>
      <c r="E77">
        <v>1</v>
      </c>
      <c r="F77" t="s">
        <v>78</v>
      </c>
      <c r="G77">
        <f>539</f>
        <v>539</v>
      </c>
      <c r="H77" s="33">
        <f>525*1.0438-50</f>
        <v>497.995</v>
      </c>
      <c r="I77">
        <f>90</f>
        <v>90</v>
      </c>
      <c r="J77" s="32">
        <f>Table1[[#This Row],[Target]]/Table1[[#This Row],[Price]]</f>
        <v>83.137729549248746</v>
      </c>
      <c r="K77">
        <v>5.99</v>
      </c>
    </row>
    <row r="78" spans="1:11" hidden="1">
      <c r="A78">
        <v>1</v>
      </c>
      <c r="B78" t="s">
        <v>9</v>
      </c>
      <c r="C78">
        <v>2</v>
      </c>
      <c r="D78" t="s">
        <v>52</v>
      </c>
      <c r="E78">
        <v>2</v>
      </c>
      <c r="F78" t="s">
        <v>79</v>
      </c>
      <c r="G78">
        <f>169</f>
        <v>169</v>
      </c>
      <c r="H78" s="33">
        <f>180*1.0438</f>
        <v>187.88400000000001</v>
      </c>
      <c r="I78">
        <f>85</f>
        <v>85</v>
      </c>
      <c r="J78" s="32">
        <f>Table1[[#This Row],[Target]]/Table1[[#This Row],[Price]]</f>
        <v>94.414070351758795</v>
      </c>
      <c r="K78">
        <v>1.99</v>
      </c>
    </row>
    <row r="79" spans="1:11" hidden="1">
      <c r="A79">
        <v>1</v>
      </c>
      <c r="B79" t="s">
        <v>9</v>
      </c>
      <c r="C79">
        <v>2</v>
      </c>
      <c r="D79" t="s">
        <v>52</v>
      </c>
      <c r="E79">
        <v>3</v>
      </c>
      <c r="F79" t="s">
        <v>80</v>
      </c>
      <c r="G79">
        <f>69</f>
        <v>69</v>
      </c>
      <c r="H79" s="33">
        <f>80*1.0438</f>
        <v>83.504000000000005</v>
      </c>
      <c r="I79">
        <f>70</f>
        <v>70</v>
      </c>
      <c r="J79" s="32">
        <f>Table1[[#This Row],[Target]]/Table1[[#This Row],[Price]]</f>
        <v>84.347474747474749</v>
      </c>
      <c r="K79">
        <v>0.99</v>
      </c>
    </row>
    <row r="80" spans="1:11" hidden="1">
      <c r="A80">
        <v>1</v>
      </c>
      <c r="B80" t="s">
        <v>9</v>
      </c>
      <c r="C80">
        <v>3</v>
      </c>
      <c r="D80" t="s">
        <v>53</v>
      </c>
      <c r="E80">
        <v>1</v>
      </c>
      <c r="F80" t="s">
        <v>111</v>
      </c>
      <c r="G80">
        <f>564</f>
        <v>564</v>
      </c>
      <c r="H80" s="33">
        <f>550*1.039</f>
        <v>571.44999999999993</v>
      </c>
      <c r="I80">
        <f>87</f>
        <v>87</v>
      </c>
      <c r="J80" s="32">
        <f>Table1[[#This Row],[Target]]/Table1[[#This Row],[Price]]</f>
        <v>88.0508474576271</v>
      </c>
      <c r="K80">
        <v>6.49</v>
      </c>
    </row>
    <row r="81" spans="1:11" hidden="1">
      <c r="A81">
        <v>1</v>
      </c>
      <c r="B81" t="s">
        <v>9</v>
      </c>
      <c r="C81">
        <v>3</v>
      </c>
      <c r="D81" t="s">
        <v>53</v>
      </c>
      <c r="E81">
        <v>2</v>
      </c>
      <c r="F81" t="s">
        <v>112</v>
      </c>
      <c r="G81">
        <f>319</f>
        <v>319</v>
      </c>
      <c r="H81" s="33">
        <f>345*1.039</f>
        <v>358.45499999999998</v>
      </c>
      <c r="I81">
        <f>80</f>
        <v>80</v>
      </c>
      <c r="J81" s="32">
        <f>Table1[[#This Row],[Target]]/Table1[[#This Row],[Price]]</f>
        <v>89.838345864661648</v>
      </c>
      <c r="K81">
        <v>3.99</v>
      </c>
    </row>
    <row r="82" spans="1:11" hidden="1">
      <c r="A82">
        <v>1</v>
      </c>
      <c r="B82" t="s">
        <v>9</v>
      </c>
      <c r="C82">
        <v>3</v>
      </c>
      <c r="D82" t="s">
        <v>53</v>
      </c>
      <c r="E82">
        <v>3</v>
      </c>
      <c r="F82" t="s">
        <v>88</v>
      </c>
      <c r="G82">
        <f>356</f>
        <v>356</v>
      </c>
      <c r="H82" s="33">
        <f>375*1.039-50</f>
        <v>339.62499999999994</v>
      </c>
      <c r="I82">
        <f>70</f>
        <v>70</v>
      </c>
      <c r="J82" s="32">
        <f>Table1[[#This Row],[Target]]/Table1[[#This Row],[Price]]</f>
        <v>66.723968565815312</v>
      </c>
      <c r="K82">
        <v>5.09</v>
      </c>
    </row>
    <row r="83" spans="1:11" hidden="1">
      <c r="A83">
        <v>1</v>
      </c>
      <c r="B83" t="s">
        <v>10</v>
      </c>
      <c r="C83">
        <v>1</v>
      </c>
      <c r="D83" t="s">
        <v>51</v>
      </c>
      <c r="E83">
        <v>1</v>
      </c>
      <c r="F83" t="s">
        <v>69</v>
      </c>
      <c r="G83">
        <f>322</f>
        <v>322</v>
      </c>
      <c r="H83" s="33">
        <f>300*1.061</f>
        <v>318.29999999999995</v>
      </c>
      <c r="I83">
        <f>180</f>
        <v>180</v>
      </c>
      <c r="J83" s="32">
        <f>Table1[[#This Row],[Target]]/Table1[[#This Row],[Price]]</f>
        <v>177.8212290502793</v>
      </c>
      <c r="K83" s="14">
        <v>1.79</v>
      </c>
    </row>
    <row r="84" spans="1:11" hidden="1">
      <c r="A84">
        <v>1</v>
      </c>
      <c r="B84" t="s">
        <v>10</v>
      </c>
      <c r="C84">
        <v>1</v>
      </c>
      <c r="D84" t="s">
        <v>51</v>
      </c>
      <c r="E84">
        <v>2</v>
      </c>
      <c r="F84" t="s">
        <v>121</v>
      </c>
      <c r="G84">
        <f>399</f>
        <v>399</v>
      </c>
      <c r="H84" s="33">
        <f>380*1.061-50</f>
        <v>353.17999999999995</v>
      </c>
      <c r="I84">
        <f>100</f>
        <v>100</v>
      </c>
      <c r="J84" s="32">
        <f>Table1[[#This Row],[Target]]/Table1[[#This Row],[Price]]</f>
        <v>88.516290726817019</v>
      </c>
      <c r="K84">
        <v>3.99</v>
      </c>
    </row>
    <row r="85" spans="1:11">
      <c r="A85">
        <v>1</v>
      </c>
      <c r="B85" t="s">
        <v>10</v>
      </c>
      <c r="C85">
        <v>1</v>
      </c>
      <c r="D85" t="s">
        <v>51</v>
      </c>
      <c r="E85">
        <v>3</v>
      </c>
      <c r="F85" t="s">
        <v>122</v>
      </c>
      <c r="G85">
        <f>143</f>
        <v>143</v>
      </c>
      <c r="H85" s="33">
        <f>170*1.061-50</f>
        <v>130.37</v>
      </c>
      <c r="I85">
        <f>85</f>
        <v>85</v>
      </c>
      <c r="J85" s="32">
        <f>Table1[[#This Row],[Target]]/Table1[[#This Row],[Price]]</f>
        <v>77.142011834319533</v>
      </c>
      <c r="K85">
        <v>1.69</v>
      </c>
    </row>
    <row r="86" spans="1:11" hidden="1">
      <c r="A86">
        <v>1</v>
      </c>
      <c r="B86" t="s">
        <v>10</v>
      </c>
      <c r="C86">
        <v>2</v>
      </c>
      <c r="D86" t="s">
        <v>52</v>
      </c>
      <c r="E86">
        <v>1</v>
      </c>
      <c r="F86" t="s">
        <v>78</v>
      </c>
      <c r="G86">
        <f>539</f>
        <v>539</v>
      </c>
      <c r="H86" s="33">
        <f>525*1.0242</f>
        <v>537.70500000000004</v>
      </c>
      <c r="I86">
        <f>90</f>
        <v>90</v>
      </c>
      <c r="J86" s="32">
        <f>Table1[[#This Row],[Target]]/Table1[[#This Row],[Price]]</f>
        <v>89.76711185308848</v>
      </c>
      <c r="K86">
        <v>5.99</v>
      </c>
    </row>
    <row r="87" spans="1:11" hidden="1">
      <c r="A87">
        <v>1</v>
      </c>
      <c r="B87" t="s">
        <v>10</v>
      </c>
      <c r="C87">
        <v>2</v>
      </c>
      <c r="D87" t="s">
        <v>52</v>
      </c>
      <c r="E87">
        <v>2</v>
      </c>
      <c r="F87" t="s">
        <v>79</v>
      </c>
      <c r="G87">
        <f>169</f>
        <v>169</v>
      </c>
      <c r="H87" s="33">
        <f>180*1.0242-50</f>
        <v>134.35599999999999</v>
      </c>
      <c r="I87">
        <f>85</f>
        <v>85</v>
      </c>
      <c r="J87" s="32">
        <f>Table1[[#This Row],[Target]]/Table1[[#This Row],[Price]]</f>
        <v>67.515577889447229</v>
      </c>
      <c r="K87">
        <v>1.99</v>
      </c>
    </row>
    <row r="88" spans="1:11" hidden="1">
      <c r="A88">
        <v>1</v>
      </c>
      <c r="B88" t="s">
        <v>10</v>
      </c>
      <c r="C88">
        <v>2</v>
      </c>
      <c r="D88" t="s">
        <v>52</v>
      </c>
      <c r="E88">
        <v>3</v>
      </c>
      <c r="F88" t="s">
        <v>80</v>
      </c>
      <c r="G88">
        <f>69</f>
        <v>69</v>
      </c>
      <c r="H88" s="33">
        <f>80*1.0242</f>
        <v>81.936000000000007</v>
      </c>
      <c r="I88">
        <f>70</f>
        <v>70</v>
      </c>
      <c r="J88" s="32">
        <f>Table1[[#This Row],[Target]]/Table1[[#This Row],[Price]]</f>
        <v>82.763636363636365</v>
      </c>
      <c r="K88">
        <v>0.99</v>
      </c>
    </row>
    <row r="89" spans="1:11" hidden="1">
      <c r="A89">
        <v>1</v>
      </c>
      <c r="B89" t="s">
        <v>10</v>
      </c>
      <c r="C89">
        <v>3</v>
      </c>
      <c r="D89" t="s">
        <v>53</v>
      </c>
      <c r="E89">
        <v>1</v>
      </c>
      <c r="F89" t="s">
        <v>111</v>
      </c>
      <c r="G89">
        <f>564</f>
        <v>564</v>
      </c>
      <c r="H89" s="33">
        <f>550*1.18-50-50</f>
        <v>549</v>
      </c>
      <c r="I89">
        <f>87</f>
        <v>87</v>
      </c>
      <c r="J89" s="32">
        <f>Table1[[#This Row],[Target]]/Table1[[#This Row],[Price]]</f>
        <v>84.591679506933744</v>
      </c>
      <c r="K89">
        <v>6.49</v>
      </c>
    </row>
    <row r="90" spans="1:11" hidden="1">
      <c r="A90">
        <v>1</v>
      </c>
      <c r="B90" t="s">
        <v>10</v>
      </c>
      <c r="C90">
        <v>3</v>
      </c>
      <c r="D90" t="s">
        <v>53</v>
      </c>
      <c r="E90">
        <v>2</v>
      </c>
      <c r="F90" t="s">
        <v>112</v>
      </c>
      <c r="G90">
        <f>319</f>
        <v>319</v>
      </c>
      <c r="H90" s="33">
        <f>345*1.18-50-50</f>
        <v>307.09999999999997</v>
      </c>
      <c r="I90">
        <f>80</f>
        <v>80</v>
      </c>
      <c r="J90" s="32">
        <f>Table1[[#This Row],[Target]]/Table1[[#This Row],[Price]]</f>
        <v>76.967418546365906</v>
      </c>
      <c r="K90">
        <v>3.99</v>
      </c>
    </row>
    <row r="91" spans="1:11" hidden="1">
      <c r="A91">
        <v>1</v>
      </c>
      <c r="B91" t="s">
        <v>10</v>
      </c>
      <c r="C91">
        <v>3</v>
      </c>
      <c r="D91" t="s">
        <v>53</v>
      </c>
      <c r="E91">
        <v>3</v>
      </c>
      <c r="F91" t="s">
        <v>88</v>
      </c>
      <c r="G91">
        <f>356</f>
        <v>356</v>
      </c>
      <c r="H91" s="33">
        <f>375*1.18-50</f>
        <v>392.5</v>
      </c>
      <c r="I91">
        <f>70</f>
        <v>70</v>
      </c>
      <c r="J91" s="32">
        <f>Table1[[#This Row],[Target]]/Table1[[#This Row],[Price]]</f>
        <v>77.11198428290767</v>
      </c>
      <c r="K91">
        <v>5.09</v>
      </c>
    </row>
    <row r="92" spans="1:11" hidden="1">
      <c r="A92">
        <v>1</v>
      </c>
      <c r="B92" t="s">
        <v>11</v>
      </c>
      <c r="C92">
        <v>1</v>
      </c>
      <c r="D92" t="s">
        <v>51</v>
      </c>
      <c r="E92">
        <v>1</v>
      </c>
      <c r="F92" t="s">
        <v>69</v>
      </c>
      <c r="G92">
        <f>322</f>
        <v>322</v>
      </c>
      <c r="H92" s="33">
        <f>300*1.0205</f>
        <v>306.14999999999998</v>
      </c>
      <c r="I92">
        <f>180</f>
        <v>180</v>
      </c>
      <c r="J92" s="32">
        <f>Table1[[#This Row],[Target]]/Table1[[#This Row],[Price]]</f>
        <v>171.03351955307261</v>
      </c>
      <c r="K92" s="14">
        <v>1.79</v>
      </c>
    </row>
    <row r="93" spans="1:11" hidden="1">
      <c r="A93">
        <v>1</v>
      </c>
      <c r="B93" t="s">
        <v>11</v>
      </c>
      <c r="C93">
        <v>1</v>
      </c>
      <c r="D93" t="s">
        <v>51</v>
      </c>
      <c r="E93">
        <v>2</v>
      </c>
      <c r="F93" t="s">
        <v>121</v>
      </c>
      <c r="G93">
        <f>399</f>
        <v>399</v>
      </c>
      <c r="H93" s="33">
        <f>380*1.0205</f>
        <v>387.78999999999996</v>
      </c>
      <c r="I93">
        <f>100</f>
        <v>100</v>
      </c>
      <c r="J93" s="32">
        <f>Table1[[#This Row],[Target]]/Table1[[#This Row],[Price]]</f>
        <v>97.190476190476176</v>
      </c>
      <c r="K93">
        <v>3.99</v>
      </c>
    </row>
    <row r="94" spans="1:11">
      <c r="A94">
        <v>1</v>
      </c>
      <c r="B94" t="s">
        <v>11</v>
      </c>
      <c r="C94">
        <v>1</v>
      </c>
      <c r="D94" t="s">
        <v>51</v>
      </c>
      <c r="E94">
        <v>3</v>
      </c>
      <c r="F94" t="s">
        <v>122</v>
      </c>
      <c r="G94">
        <f>143</f>
        <v>143</v>
      </c>
      <c r="H94" s="33">
        <f>170*1.0205-50</f>
        <v>123.48499999999999</v>
      </c>
      <c r="I94">
        <f>85</f>
        <v>85</v>
      </c>
      <c r="J94" s="32">
        <f>Table1[[#This Row],[Target]]/Table1[[#This Row],[Price]]</f>
        <v>73.068047337278102</v>
      </c>
      <c r="K94">
        <v>1.69</v>
      </c>
    </row>
    <row r="95" spans="1:11" hidden="1">
      <c r="A95">
        <v>1</v>
      </c>
      <c r="B95" t="s">
        <v>11</v>
      </c>
      <c r="C95">
        <v>2</v>
      </c>
      <c r="D95" t="s">
        <v>52</v>
      </c>
      <c r="E95">
        <v>1</v>
      </c>
      <c r="F95" t="s">
        <v>78</v>
      </c>
      <c r="G95">
        <f>539</f>
        <v>539</v>
      </c>
      <c r="H95" s="33">
        <f>525*0.6</f>
        <v>315</v>
      </c>
      <c r="I95">
        <f>90</f>
        <v>90</v>
      </c>
      <c r="J95" s="32">
        <f>Table1[[#This Row],[Target]]/Table1[[#This Row],[Price]]</f>
        <v>52.587646076794655</v>
      </c>
      <c r="K95">
        <v>5.99</v>
      </c>
    </row>
    <row r="96" spans="1:11" hidden="1">
      <c r="A96">
        <v>1</v>
      </c>
      <c r="B96" t="s">
        <v>11</v>
      </c>
      <c r="C96">
        <v>2</v>
      </c>
      <c r="D96" t="s">
        <v>52</v>
      </c>
      <c r="E96">
        <v>2</v>
      </c>
      <c r="F96" t="s">
        <v>79</v>
      </c>
      <c r="G96">
        <f>169</f>
        <v>169</v>
      </c>
      <c r="H96" s="33">
        <f>180*0.6+60</f>
        <v>168</v>
      </c>
      <c r="I96">
        <f>85</f>
        <v>85</v>
      </c>
      <c r="J96" s="32">
        <f>Table1[[#This Row],[Target]]/Table1[[#This Row],[Price]]</f>
        <v>84.422110552763826</v>
      </c>
      <c r="K96">
        <v>1.99</v>
      </c>
    </row>
    <row r="97" spans="1:11" hidden="1">
      <c r="A97">
        <v>1</v>
      </c>
      <c r="B97" t="s">
        <v>11</v>
      </c>
      <c r="C97">
        <v>2</v>
      </c>
      <c r="D97" t="s">
        <v>52</v>
      </c>
      <c r="E97">
        <v>3</v>
      </c>
      <c r="F97" t="s">
        <v>80</v>
      </c>
      <c r="G97">
        <f>69</f>
        <v>69</v>
      </c>
      <c r="H97" s="33">
        <f>80*0.6</f>
        <v>48</v>
      </c>
      <c r="I97">
        <f>70</f>
        <v>70</v>
      </c>
      <c r="J97" s="32">
        <f>Table1[[#This Row],[Target]]/Table1[[#This Row],[Price]]</f>
        <v>48.484848484848484</v>
      </c>
      <c r="K97">
        <v>0.99</v>
      </c>
    </row>
    <row r="98" spans="1:11" hidden="1">
      <c r="A98">
        <v>1</v>
      </c>
      <c r="B98" t="s">
        <v>11</v>
      </c>
      <c r="C98">
        <v>3</v>
      </c>
      <c r="D98" t="s">
        <v>53</v>
      </c>
      <c r="E98">
        <v>1</v>
      </c>
      <c r="F98" t="s">
        <v>111</v>
      </c>
      <c r="G98">
        <f>564</f>
        <v>564</v>
      </c>
      <c r="H98" s="33">
        <f>550*1.0208</f>
        <v>561.43999999999994</v>
      </c>
      <c r="I98">
        <f>87</f>
        <v>87</v>
      </c>
      <c r="J98" s="32">
        <f>Table1[[#This Row],[Target]]/Table1[[#This Row],[Price]]</f>
        <v>86.508474576271169</v>
      </c>
      <c r="K98">
        <v>6.49</v>
      </c>
    </row>
    <row r="99" spans="1:11" hidden="1">
      <c r="A99">
        <v>1</v>
      </c>
      <c r="B99" t="s">
        <v>11</v>
      </c>
      <c r="C99">
        <v>3</v>
      </c>
      <c r="D99" t="s">
        <v>53</v>
      </c>
      <c r="E99">
        <v>2</v>
      </c>
      <c r="F99" t="s">
        <v>112</v>
      </c>
      <c r="G99">
        <f>319</f>
        <v>319</v>
      </c>
      <c r="H99" s="33">
        <f>345*1.0208-50</f>
        <v>302.17599999999999</v>
      </c>
      <c r="I99">
        <f>80</f>
        <v>80</v>
      </c>
      <c r="J99" s="32">
        <f>Table1[[#This Row],[Target]]/Table1[[#This Row],[Price]]</f>
        <v>75.73333333333332</v>
      </c>
      <c r="K99">
        <v>3.99</v>
      </c>
    </row>
    <row r="100" spans="1:11" hidden="1">
      <c r="A100">
        <v>1</v>
      </c>
      <c r="B100" t="s">
        <v>11</v>
      </c>
      <c r="C100">
        <v>3</v>
      </c>
      <c r="D100" t="s">
        <v>53</v>
      </c>
      <c r="E100">
        <v>3</v>
      </c>
      <c r="F100" t="s">
        <v>88</v>
      </c>
      <c r="G100">
        <f>356</f>
        <v>356</v>
      </c>
      <c r="H100" s="33">
        <f>375*1.0208-50</f>
        <v>332.79999999999995</v>
      </c>
      <c r="I100">
        <f>70</f>
        <v>70</v>
      </c>
      <c r="J100" s="32">
        <f>Table1[[#This Row],[Target]]/Table1[[#This Row],[Price]]</f>
        <v>65.383104125736736</v>
      </c>
      <c r="K100">
        <v>5.09</v>
      </c>
    </row>
    <row r="101" spans="1:11" hidden="1">
      <c r="A101">
        <v>1</v>
      </c>
      <c r="B101" t="s">
        <v>12</v>
      </c>
      <c r="C101">
        <v>1</v>
      </c>
      <c r="D101" t="s">
        <v>51</v>
      </c>
      <c r="E101">
        <v>1</v>
      </c>
      <c r="F101" t="s">
        <v>69</v>
      </c>
      <c r="G101">
        <f>322</f>
        <v>322</v>
      </c>
      <c r="H101" s="33">
        <f>300*1.0218+25</f>
        <v>331.54</v>
      </c>
      <c r="I101">
        <f>180</f>
        <v>180</v>
      </c>
      <c r="J101" s="32">
        <f>Table1[[#This Row],[Target]]/Table1[[#This Row],[Price]]</f>
        <v>185.21787709497207</v>
      </c>
      <c r="K101" s="14">
        <v>1.79</v>
      </c>
    </row>
    <row r="102" spans="1:11" hidden="1">
      <c r="A102">
        <v>1</v>
      </c>
      <c r="B102" t="s">
        <v>12</v>
      </c>
      <c r="C102">
        <v>1</v>
      </c>
      <c r="D102" t="s">
        <v>51</v>
      </c>
      <c r="E102">
        <v>2</v>
      </c>
      <c r="F102" t="s">
        <v>121</v>
      </c>
      <c r="G102">
        <f>399</f>
        <v>399</v>
      </c>
      <c r="H102" s="33">
        <f>380*1.0218</f>
        <v>388.28399999999999</v>
      </c>
      <c r="I102">
        <f>100</f>
        <v>100</v>
      </c>
      <c r="J102" s="32">
        <f>Table1[[#This Row],[Target]]/Table1[[#This Row],[Price]]</f>
        <v>97.314285714285703</v>
      </c>
      <c r="K102">
        <v>3.99</v>
      </c>
    </row>
    <row r="103" spans="1:11">
      <c r="A103">
        <v>1</v>
      </c>
      <c r="B103" t="s">
        <v>12</v>
      </c>
      <c r="C103">
        <v>1</v>
      </c>
      <c r="D103" t="s">
        <v>51</v>
      </c>
      <c r="E103">
        <v>3</v>
      </c>
      <c r="F103" t="s">
        <v>122</v>
      </c>
      <c r="G103">
        <f>143</f>
        <v>143</v>
      </c>
      <c r="H103" s="33">
        <f>170*1.0218</f>
        <v>173.70600000000002</v>
      </c>
      <c r="I103">
        <f>85</f>
        <v>85</v>
      </c>
      <c r="J103" s="32">
        <f>Table1[[#This Row],[Target]]/Table1[[#This Row],[Price]]</f>
        <v>102.78461538461539</v>
      </c>
      <c r="K103">
        <v>1.69</v>
      </c>
    </row>
    <row r="104" spans="1:11" hidden="1">
      <c r="A104">
        <v>1</v>
      </c>
      <c r="B104" t="s">
        <v>12</v>
      </c>
      <c r="C104">
        <v>2</v>
      </c>
      <c r="D104" t="s">
        <v>52</v>
      </c>
      <c r="E104">
        <v>1</v>
      </c>
      <c r="F104" t="s">
        <v>78</v>
      </c>
      <c r="G104">
        <f>539</f>
        <v>539</v>
      </c>
      <c r="H104" s="33">
        <f>525*1.0245</f>
        <v>537.86249999999995</v>
      </c>
      <c r="I104">
        <f>90</f>
        <v>90</v>
      </c>
      <c r="J104" s="32">
        <f>Table1[[#This Row],[Target]]/Table1[[#This Row],[Price]]</f>
        <v>89.793405676126866</v>
      </c>
      <c r="K104">
        <v>5.99</v>
      </c>
    </row>
    <row r="105" spans="1:11" hidden="1">
      <c r="A105">
        <v>1</v>
      </c>
      <c r="B105" t="s">
        <v>12</v>
      </c>
      <c r="C105">
        <v>2</v>
      </c>
      <c r="D105" t="s">
        <v>52</v>
      </c>
      <c r="E105">
        <v>2</v>
      </c>
      <c r="F105" t="s">
        <v>79</v>
      </c>
      <c r="G105">
        <f>169</f>
        <v>169</v>
      </c>
      <c r="H105" s="33">
        <f>180*1.0245</f>
        <v>184.41</v>
      </c>
      <c r="I105">
        <f>85</f>
        <v>85</v>
      </c>
      <c r="J105" s="32">
        <f>Table1[[#This Row],[Target]]/Table1[[#This Row],[Price]]</f>
        <v>92.668341708542712</v>
      </c>
      <c r="K105">
        <v>1.99</v>
      </c>
    </row>
    <row r="106" spans="1:11" hidden="1">
      <c r="A106">
        <v>1</v>
      </c>
      <c r="B106" t="s">
        <v>12</v>
      </c>
      <c r="C106">
        <v>2</v>
      </c>
      <c r="D106" t="s">
        <v>52</v>
      </c>
      <c r="E106">
        <v>3</v>
      </c>
      <c r="F106" t="s">
        <v>80</v>
      </c>
      <c r="G106">
        <f>69</f>
        <v>69</v>
      </c>
      <c r="H106" s="33">
        <f>80*1.0245</f>
        <v>81.96</v>
      </c>
      <c r="I106">
        <f>70</f>
        <v>70</v>
      </c>
      <c r="J106" s="32">
        <f>Table1[[#This Row],[Target]]/Table1[[#This Row],[Price]]</f>
        <v>82.787878787878782</v>
      </c>
      <c r="K106">
        <v>0.99</v>
      </c>
    </row>
    <row r="107" spans="1:11" hidden="1">
      <c r="A107">
        <v>1</v>
      </c>
      <c r="B107" t="s">
        <v>12</v>
      </c>
      <c r="C107">
        <v>3</v>
      </c>
      <c r="D107" t="s">
        <v>53</v>
      </c>
      <c r="E107">
        <v>1</v>
      </c>
      <c r="F107" t="s">
        <v>111</v>
      </c>
      <c r="G107">
        <f>564</f>
        <v>564</v>
      </c>
      <c r="H107" s="33">
        <f>550*1.0236</f>
        <v>562.98</v>
      </c>
      <c r="I107">
        <f>87</f>
        <v>87</v>
      </c>
      <c r="J107" s="32">
        <f>Table1[[#This Row],[Target]]/Table1[[#This Row],[Price]]</f>
        <v>86.745762711864401</v>
      </c>
      <c r="K107">
        <v>6.49</v>
      </c>
    </row>
    <row r="108" spans="1:11" hidden="1">
      <c r="A108">
        <v>1</v>
      </c>
      <c r="B108" t="s">
        <v>12</v>
      </c>
      <c r="C108">
        <v>3</v>
      </c>
      <c r="D108" t="s">
        <v>53</v>
      </c>
      <c r="E108">
        <v>2</v>
      </c>
      <c r="F108" t="s">
        <v>112</v>
      </c>
      <c r="G108">
        <f>319</f>
        <v>319</v>
      </c>
      <c r="H108" s="33">
        <f>345*1.0236-50</f>
        <v>303.142</v>
      </c>
      <c r="I108">
        <f>80</f>
        <v>80</v>
      </c>
      <c r="J108" s="32">
        <f>Table1[[#This Row],[Target]]/Table1[[#This Row],[Price]]</f>
        <v>75.975438596491216</v>
      </c>
      <c r="K108">
        <v>3.99</v>
      </c>
    </row>
    <row r="109" spans="1:11" hidden="1">
      <c r="A109">
        <v>1</v>
      </c>
      <c r="B109" t="s">
        <v>12</v>
      </c>
      <c r="C109">
        <v>3</v>
      </c>
      <c r="D109" t="s">
        <v>53</v>
      </c>
      <c r="E109">
        <v>3</v>
      </c>
      <c r="F109" t="s">
        <v>88</v>
      </c>
      <c r="G109">
        <f>356</f>
        <v>356</v>
      </c>
      <c r="H109" s="33">
        <f>375*1.0236-50</f>
        <v>333.85</v>
      </c>
      <c r="I109">
        <f>70</f>
        <v>70</v>
      </c>
      <c r="J109" s="32">
        <f>Table1[[#This Row],[Target]]/Table1[[#This Row],[Price]]</f>
        <v>65.589390962671914</v>
      </c>
      <c r="K109">
        <v>5.09</v>
      </c>
    </row>
    <row r="110" spans="1:11" hidden="1">
      <c r="A110">
        <v>1</v>
      </c>
      <c r="B110" t="s">
        <v>13</v>
      </c>
      <c r="C110">
        <v>1</v>
      </c>
      <c r="D110" t="s">
        <v>51</v>
      </c>
      <c r="E110">
        <v>1</v>
      </c>
      <c r="F110" t="s">
        <v>69</v>
      </c>
      <c r="G110">
        <f>322</f>
        <v>322</v>
      </c>
      <c r="H110" s="33">
        <f>300*1.0233</f>
        <v>306.99</v>
      </c>
      <c r="I110">
        <f>180</f>
        <v>180</v>
      </c>
      <c r="J110" s="32">
        <f>Table1[[#This Row],[Target]]/Table1[[#This Row],[Price]]</f>
        <v>171.50279329608938</v>
      </c>
      <c r="K110" s="14">
        <v>1.79</v>
      </c>
    </row>
    <row r="111" spans="1:11" hidden="1">
      <c r="A111">
        <v>1</v>
      </c>
      <c r="B111" t="s">
        <v>13</v>
      </c>
      <c r="C111">
        <v>1</v>
      </c>
      <c r="D111" t="s">
        <v>51</v>
      </c>
      <c r="E111">
        <v>2</v>
      </c>
      <c r="F111" t="s">
        <v>121</v>
      </c>
      <c r="G111">
        <f>399</f>
        <v>399</v>
      </c>
      <c r="H111" s="33">
        <f>380*1.0233</f>
        <v>388.85400000000004</v>
      </c>
      <c r="I111">
        <f>100</f>
        <v>100</v>
      </c>
      <c r="J111" s="32">
        <f>Table1[[#This Row],[Target]]/Table1[[#This Row],[Price]]</f>
        <v>97.457142857142856</v>
      </c>
      <c r="K111">
        <v>3.99</v>
      </c>
    </row>
    <row r="112" spans="1:11">
      <c r="A112">
        <v>1</v>
      </c>
      <c r="B112" t="s">
        <v>13</v>
      </c>
      <c r="C112">
        <v>1</v>
      </c>
      <c r="D112" t="s">
        <v>51</v>
      </c>
      <c r="E112">
        <v>3</v>
      </c>
      <c r="F112" t="s">
        <v>122</v>
      </c>
      <c r="G112">
        <f>143</f>
        <v>143</v>
      </c>
      <c r="H112" s="33">
        <f>170*1.0233-50</f>
        <v>123.96100000000001</v>
      </c>
      <c r="I112">
        <f>85</f>
        <v>85</v>
      </c>
      <c r="J112" s="32">
        <f>Table1[[#This Row],[Target]]/Table1[[#This Row],[Price]]</f>
        <v>73.349704142011845</v>
      </c>
      <c r="K112">
        <v>1.69</v>
      </c>
    </row>
    <row r="113" spans="1:11" hidden="1">
      <c r="A113">
        <v>1</v>
      </c>
      <c r="B113" t="s">
        <v>13</v>
      </c>
      <c r="C113">
        <v>2</v>
      </c>
      <c r="D113" t="s">
        <v>52</v>
      </c>
      <c r="E113">
        <v>1</v>
      </c>
      <c r="F113" t="s">
        <v>78</v>
      </c>
      <c r="G113">
        <f>539</f>
        <v>539</v>
      </c>
      <c r="H113" s="33">
        <f>525*1.0666-50</f>
        <v>509.96500000000003</v>
      </c>
      <c r="I113">
        <f>90</f>
        <v>90</v>
      </c>
      <c r="J113" s="32">
        <f>Table1[[#This Row],[Target]]/Table1[[#This Row],[Price]]</f>
        <v>85.136060100166944</v>
      </c>
      <c r="K113">
        <v>5.99</v>
      </c>
    </row>
    <row r="114" spans="1:11" hidden="1">
      <c r="A114">
        <v>1</v>
      </c>
      <c r="B114" t="s">
        <v>13</v>
      </c>
      <c r="C114">
        <v>2</v>
      </c>
      <c r="D114" t="s">
        <v>52</v>
      </c>
      <c r="E114">
        <v>2</v>
      </c>
      <c r="F114" t="s">
        <v>79</v>
      </c>
      <c r="G114">
        <f>169</f>
        <v>169</v>
      </c>
      <c r="H114" s="33">
        <f>180*1.0666</f>
        <v>191.988</v>
      </c>
      <c r="I114">
        <f>85</f>
        <v>85</v>
      </c>
      <c r="J114" s="32">
        <f>Table1[[#This Row],[Target]]/Table1[[#This Row],[Price]]</f>
        <v>96.47638190954774</v>
      </c>
      <c r="K114">
        <v>1.99</v>
      </c>
    </row>
    <row r="115" spans="1:11" hidden="1">
      <c r="A115">
        <v>1</v>
      </c>
      <c r="B115" t="s">
        <v>13</v>
      </c>
      <c r="C115">
        <v>2</v>
      </c>
      <c r="D115" t="s">
        <v>52</v>
      </c>
      <c r="E115">
        <v>3</v>
      </c>
      <c r="F115" t="s">
        <v>80</v>
      </c>
      <c r="G115">
        <f>69</f>
        <v>69</v>
      </c>
      <c r="H115" s="33">
        <f>80*1.0666</f>
        <v>85.328000000000003</v>
      </c>
      <c r="I115">
        <f>70</f>
        <v>70</v>
      </c>
      <c r="J115" s="32">
        <f>Table1[[#This Row],[Target]]/Table1[[#This Row],[Price]]</f>
        <v>86.189898989898992</v>
      </c>
      <c r="K115">
        <v>0.99</v>
      </c>
    </row>
    <row r="116" spans="1:11" hidden="1">
      <c r="A116">
        <v>1</v>
      </c>
      <c r="B116" t="s">
        <v>13</v>
      </c>
      <c r="C116">
        <v>3</v>
      </c>
      <c r="D116" t="s">
        <v>53</v>
      </c>
      <c r="E116">
        <v>1</v>
      </c>
      <c r="F116" t="s">
        <v>111</v>
      </c>
      <c r="G116">
        <f>564</f>
        <v>564</v>
      </c>
      <c r="H116" s="33">
        <f>550*1.09</f>
        <v>599.5</v>
      </c>
      <c r="I116">
        <f>87</f>
        <v>87</v>
      </c>
      <c r="J116" s="32">
        <f>Table1[[#This Row],[Target]]/Table1[[#This Row],[Price]]</f>
        <v>92.372881355932194</v>
      </c>
      <c r="K116">
        <v>6.49</v>
      </c>
    </row>
    <row r="117" spans="1:11" hidden="1">
      <c r="A117">
        <v>1</v>
      </c>
      <c r="B117" t="s">
        <v>13</v>
      </c>
      <c r="C117">
        <v>3</v>
      </c>
      <c r="D117" t="s">
        <v>53</v>
      </c>
      <c r="E117">
        <v>2</v>
      </c>
      <c r="F117" t="s">
        <v>112</v>
      </c>
      <c r="G117">
        <f>319</f>
        <v>319</v>
      </c>
      <c r="H117" s="33">
        <f>345*1.09</f>
        <v>376.05</v>
      </c>
      <c r="I117">
        <f>80</f>
        <v>80</v>
      </c>
      <c r="J117" s="32">
        <f>Table1[[#This Row],[Target]]/Table1[[#This Row],[Price]]</f>
        <v>94.248120300751879</v>
      </c>
      <c r="K117">
        <v>3.99</v>
      </c>
    </row>
    <row r="118" spans="1:11" hidden="1">
      <c r="A118">
        <v>1</v>
      </c>
      <c r="B118" t="s">
        <v>13</v>
      </c>
      <c r="C118">
        <v>3</v>
      </c>
      <c r="D118" t="s">
        <v>53</v>
      </c>
      <c r="E118">
        <v>3</v>
      </c>
      <c r="F118" t="s">
        <v>88</v>
      </c>
      <c r="G118">
        <f>356</f>
        <v>356</v>
      </c>
      <c r="H118" s="33">
        <f>375*1.09-50</f>
        <v>358.75000000000006</v>
      </c>
      <c r="I118">
        <f>70</f>
        <v>70</v>
      </c>
      <c r="J118" s="32">
        <f>Table1[[#This Row],[Target]]/Table1[[#This Row],[Price]]</f>
        <v>70.481335952848738</v>
      </c>
      <c r="K118">
        <v>5.09</v>
      </c>
    </row>
    <row r="119" spans="1:11" hidden="1">
      <c r="A119">
        <v>1</v>
      </c>
      <c r="B119" t="s">
        <v>14</v>
      </c>
      <c r="C119">
        <v>1</v>
      </c>
      <c r="D119" t="s">
        <v>51</v>
      </c>
      <c r="E119">
        <v>1</v>
      </c>
      <c r="F119" t="s">
        <v>69</v>
      </c>
      <c r="G119">
        <f>322</f>
        <v>322</v>
      </c>
      <c r="H119" s="33">
        <f>300*1.024</f>
        <v>307.2</v>
      </c>
      <c r="I119">
        <f>180</f>
        <v>180</v>
      </c>
      <c r="J119" s="32">
        <f>Table1[[#This Row],[Target]]/Table1[[#This Row],[Price]]</f>
        <v>171.62011173184356</v>
      </c>
      <c r="K119" s="14">
        <v>1.79</v>
      </c>
    </row>
    <row r="120" spans="1:11" hidden="1">
      <c r="A120">
        <v>1</v>
      </c>
      <c r="B120" t="s">
        <v>14</v>
      </c>
      <c r="C120">
        <v>1</v>
      </c>
      <c r="D120" t="s">
        <v>51</v>
      </c>
      <c r="E120">
        <v>2</v>
      </c>
      <c r="F120" t="s">
        <v>121</v>
      </c>
      <c r="G120">
        <f>399</f>
        <v>399</v>
      </c>
      <c r="H120" s="33">
        <f>380*1.024</f>
        <v>389.12</v>
      </c>
      <c r="I120">
        <f>100</f>
        <v>100</v>
      </c>
      <c r="J120" s="32">
        <f>Table1[[#This Row],[Target]]/Table1[[#This Row],[Price]]</f>
        <v>97.523809523809518</v>
      </c>
      <c r="K120">
        <v>3.99</v>
      </c>
    </row>
    <row r="121" spans="1:11">
      <c r="A121">
        <v>1</v>
      </c>
      <c r="B121" t="s">
        <v>14</v>
      </c>
      <c r="C121">
        <v>1</v>
      </c>
      <c r="D121" t="s">
        <v>51</v>
      </c>
      <c r="E121">
        <v>3</v>
      </c>
      <c r="F121" t="s">
        <v>122</v>
      </c>
      <c r="G121">
        <f>143</f>
        <v>143</v>
      </c>
      <c r="H121" s="33">
        <f>170*1.024</f>
        <v>174.08</v>
      </c>
      <c r="I121">
        <f>85</f>
        <v>85</v>
      </c>
      <c r="J121" s="32">
        <f>Table1[[#This Row],[Target]]/Table1[[#This Row],[Price]]</f>
        <v>103.00591715976333</v>
      </c>
      <c r="K121">
        <v>1.69</v>
      </c>
    </row>
    <row r="122" spans="1:11" hidden="1">
      <c r="A122">
        <v>1</v>
      </c>
      <c r="B122" t="s">
        <v>14</v>
      </c>
      <c r="C122">
        <v>2</v>
      </c>
      <c r="D122" t="s">
        <v>52</v>
      </c>
      <c r="E122">
        <v>1</v>
      </c>
      <c r="F122" t="s">
        <v>78</v>
      </c>
      <c r="G122">
        <f>539</f>
        <v>539</v>
      </c>
      <c r="H122" s="33">
        <f>525*1.057-50</f>
        <v>504.92499999999995</v>
      </c>
      <c r="I122">
        <f>90</f>
        <v>90</v>
      </c>
      <c r="J122" s="32">
        <f>Table1[[#This Row],[Target]]/Table1[[#This Row],[Price]]</f>
        <v>84.294657762938215</v>
      </c>
      <c r="K122">
        <v>5.99</v>
      </c>
    </row>
    <row r="123" spans="1:11" hidden="1">
      <c r="A123">
        <v>1</v>
      </c>
      <c r="B123" t="s">
        <v>14</v>
      </c>
      <c r="C123">
        <v>2</v>
      </c>
      <c r="D123" t="s">
        <v>52</v>
      </c>
      <c r="E123">
        <v>2</v>
      </c>
      <c r="F123" t="s">
        <v>79</v>
      </c>
      <c r="G123">
        <f>169</f>
        <v>169</v>
      </c>
      <c r="H123" s="33">
        <f>180*1.057-50</f>
        <v>140.26</v>
      </c>
      <c r="I123">
        <f>85</f>
        <v>85</v>
      </c>
      <c r="J123" s="32">
        <f>Table1[[#This Row],[Target]]/Table1[[#This Row],[Price]]</f>
        <v>70.482412060301499</v>
      </c>
      <c r="K123">
        <v>1.99</v>
      </c>
    </row>
    <row r="124" spans="1:11" hidden="1">
      <c r="A124">
        <v>1</v>
      </c>
      <c r="B124" t="s">
        <v>14</v>
      </c>
      <c r="C124">
        <v>2</v>
      </c>
      <c r="D124" t="s">
        <v>52</v>
      </c>
      <c r="E124">
        <v>3</v>
      </c>
      <c r="F124" t="s">
        <v>80</v>
      </c>
      <c r="G124">
        <f>69</f>
        <v>69</v>
      </c>
      <c r="H124" s="33">
        <f>80*1.057</f>
        <v>84.56</v>
      </c>
      <c r="I124">
        <f>70</f>
        <v>70</v>
      </c>
      <c r="J124" s="32">
        <f>Table1[[#This Row],[Target]]/Table1[[#This Row],[Price]]</f>
        <v>85.414141414141412</v>
      </c>
      <c r="K124">
        <v>0.99</v>
      </c>
    </row>
    <row r="125" spans="1:11" hidden="1">
      <c r="A125">
        <v>1</v>
      </c>
      <c r="B125" t="s">
        <v>14</v>
      </c>
      <c r="C125">
        <v>3</v>
      </c>
      <c r="D125" t="s">
        <v>53</v>
      </c>
      <c r="E125">
        <v>1</v>
      </c>
      <c r="F125" t="s">
        <v>111</v>
      </c>
      <c r="G125">
        <f>564</f>
        <v>564</v>
      </c>
      <c r="H125" s="33">
        <f>550*1.0333</f>
        <v>568.31500000000005</v>
      </c>
      <c r="I125">
        <f>87</f>
        <v>87</v>
      </c>
      <c r="J125" s="32">
        <f>Table1[[#This Row],[Target]]/Table1[[#This Row],[Price]]</f>
        <v>87.567796610169495</v>
      </c>
      <c r="K125">
        <v>6.49</v>
      </c>
    </row>
    <row r="126" spans="1:11" hidden="1">
      <c r="A126">
        <v>1</v>
      </c>
      <c r="B126" t="s">
        <v>14</v>
      </c>
      <c r="C126">
        <v>3</v>
      </c>
      <c r="D126" t="s">
        <v>53</v>
      </c>
      <c r="E126">
        <v>2</v>
      </c>
      <c r="F126" t="s">
        <v>112</v>
      </c>
      <c r="G126">
        <f>319</f>
        <v>319</v>
      </c>
      <c r="H126" s="33">
        <f>345*1.0333</f>
        <v>356.48850000000004</v>
      </c>
      <c r="I126">
        <f>80</f>
        <v>80</v>
      </c>
      <c r="J126" s="32">
        <f>Table1[[#This Row],[Target]]/Table1[[#This Row],[Price]]</f>
        <v>89.345488721804514</v>
      </c>
      <c r="K126">
        <v>3.99</v>
      </c>
    </row>
    <row r="127" spans="1:11" hidden="1">
      <c r="A127">
        <v>1</v>
      </c>
      <c r="B127" t="s">
        <v>14</v>
      </c>
      <c r="C127">
        <v>3</v>
      </c>
      <c r="D127" t="s">
        <v>53</v>
      </c>
      <c r="E127">
        <v>3</v>
      </c>
      <c r="F127" t="s">
        <v>88</v>
      </c>
      <c r="G127">
        <f>356</f>
        <v>356</v>
      </c>
      <c r="H127" s="33">
        <f>375*1.0333</f>
        <v>387.48750000000007</v>
      </c>
      <c r="I127">
        <f>70</f>
        <v>70</v>
      </c>
      <c r="J127" s="32">
        <f>Table1[[#This Row],[Target]]/Table1[[#This Row],[Price]]</f>
        <v>76.127210216110029</v>
      </c>
      <c r="K127">
        <v>5.09</v>
      </c>
    </row>
    <row r="128" spans="1:11" hidden="1">
      <c r="A128">
        <v>1</v>
      </c>
      <c r="B128" t="s">
        <v>15</v>
      </c>
      <c r="C128">
        <v>1</v>
      </c>
      <c r="D128" t="s">
        <v>51</v>
      </c>
      <c r="E128">
        <v>1</v>
      </c>
      <c r="F128" t="s">
        <v>69</v>
      </c>
      <c r="G128">
        <f>322</f>
        <v>322</v>
      </c>
      <c r="H128" s="33">
        <f>300*1.0547</f>
        <v>316.40999999999997</v>
      </c>
      <c r="I128">
        <f>180</f>
        <v>180</v>
      </c>
      <c r="J128" s="32">
        <f>Table1[[#This Row],[Target]]/Table1[[#This Row],[Price]]</f>
        <v>176.7653631284916</v>
      </c>
      <c r="K128" s="14">
        <v>1.79</v>
      </c>
    </row>
    <row r="129" spans="1:11" hidden="1">
      <c r="A129">
        <v>1</v>
      </c>
      <c r="B129" t="s">
        <v>15</v>
      </c>
      <c r="C129">
        <v>1</v>
      </c>
      <c r="D129" t="s">
        <v>51</v>
      </c>
      <c r="E129">
        <v>2</v>
      </c>
      <c r="F129" t="s">
        <v>121</v>
      </c>
      <c r="G129">
        <f>399</f>
        <v>399</v>
      </c>
      <c r="H129" s="33">
        <f>380*1.0547</f>
        <v>400.786</v>
      </c>
      <c r="I129">
        <f>100</f>
        <v>100</v>
      </c>
      <c r="J129" s="32">
        <f>Table1[[#This Row],[Target]]/Table1[[#This Row],[Price]]</f>
        <v>100.44761904761904</v>
      </c>
      <c r="K129">
        <v>3.99</v>
      </c>
    </row>
    <row r="130" spans="1:11">
      <c r="A130">
        <v>1</v>
      </c>
      <c r="B130" t="s">
        <v>15</v>
      </c>
      <c r="C130">
        <v>1</v>
      </c>
      <c r="D130" t="s">
        <v>51</v>
      </c>
      <c r="E130">
        <v>3</v>
      </c>
      <c r="F130" t="s">
        <v>122</v>
      </c>
      <c r="G130">
        <f>143</f>
        <v>143</v>
      </c>
      <c r="H130" s="33">
        <f>170*1.0547</f>
        <v>179.29900000000001</v>
      </c>
      <c r="I130">
        <f>85</f>
        <v>85</v>
      </c>
      <c r="J130" s="32">
        <f>Table1[[#This Row],[Target]]/Table1[[#This Row],[Price]]</f>
        <v>106.09408284023669</v>
      </c>
      <c r="K130">
        <v>1.69</v>
      </c>
    </row>
    <row r="131" spans="1:11" hidden="1">
      <c r="A131">
        <v>1</v>
      </c>
      <c r="B131" t="s">
        <v>15</v>
      </c>
      <c r="C131">
        <v>2</v>
      </c>
      <c r="D131" t="s">
        <v>52</v>
      </c>
      <c r="E131">
        <v>1</v>
      </c>
      <c r="F131" t="s">
        <v>78</v>
      </c>
      <c r="G131">
        <f>539</f>
        <v>539</v>
      </c>
      <c r="H131" s="33">
        <f>525*1.0359</f>
        <v>543.84749999999997</v>
      </c>
      <c r="I131">
        <f>90</f>
        <v>90</v>
      </c>
      <c r="J131" s="32">
        <f>Table1[[#This Row],[Target]]/Table1[[#This Row],[Price]]</f>
        <v>90.792570951585972</v>
      </c>
      <c r="K131">
        <v>5.99</v>
      </c>
    </row>
    <row r="132" spans="1:11" hidden="1">
      <c r="A132">
        <v>1</v>
      </c>
      <c r="B132" t="s">
        <v>15</v>
      </c>
      <c r="C132">
        <v>2</v>
      </c>
      <c r="D132" t="s">
        <v>52</v>
      </c>
      <c r="E132">
        <v>2</v>
      </c>
      <c r="F132" t="s">
        <v>79</v>
      </c>
      <c r="G132">
        <f>169</f>
        <v>169</v>
      </c>
      <c r="H132" s="33">
        <f>180*1.0359</f>
        <v>186.46200000000002</v>
      </c>
      <c r="I132">
        <f>85</f>
        <v>85</v>
      </c>
      <c r="J132" s="32">
        <f>Table1[[#This Row],[Target]]/Table1[[#This Row],[Price]]</f>
        <v>93.699497487437199</v>
      </c>
      <c r="K132">
        <v>1.99</v>
      </c>
    </row>
    <row r="133" spans="1:11" hidden="1">
      <c r="A133">
        <v>1</v>
      </c>
      <c r="B133" t="s">
        <v>15</v>
      </c>
      <c r="C133">
        <v>2</v>
      </c>
      <c r="D133" t="s">
        <v>52</v>
      </c>
      <c r="E133">
        <v>3</v>
      </c>
      <c r="F133" t="s">
        <v>80</v>
      </c>
      <c r="G133">
        <f>69</f>
        <v>69</v>
      </c>
      <c r="H133" s="33">
        <f>80*1.0359</f>
        <v>82.872</v>
      </c>
      <c r="I133">
        <f>70</f>
        <v>70</v>
      </c>
      <c r="J133" s="32">
        <f>Table1[[#This Row],[Target]]/Table1[[#This Row],[Price]]</f>
        <v>83.709090909090904</v>
      </c>
      <c r="K133">
        <v>0.99</v>
      </c>
    </row>
    <row r="134" spans="1:11" hidden="1">
      <c r="A134">
        <v>1</v>
      </c>
      <c r="B134" t="s">
        <v>15</v>
      </c>
      <c r="C134">
        <v>3</v>
      </c>
      <c r="D134" t="s">
        <v>53</v>
      </c>
      <c r="E134">
        <v>1</v>
      </c>
      <c r="F134" t="s">
        <v>111</v>
      </c>
      <c r="G134">
        <f>564</f>
        <v>564</v>
      </c>
      <c r="H134" s="33">
        <f>550*1.0569</f>
        <v>581.29499999999996</v>
      </c>
      <c r="I134">
        <f>87</f>
        <v>87</v>
      </c>
      <c r="J134" s="32">
        <f>Table1[[#This Row],[Target]]/Table1[[#This Row],[Price]]</f>
        <v>89.567796610169481</v>
      </c>
      <c r="K134">
        <v>6.49</v>
      </c>
    </row>
    <row r="135" spans="1:11" hidden="1">
      <c r="A135">
        <v>1</v>
      </c>
      <c r="B135" t="s">
        <v>15</v>
      </c>
      <c r="C135">
        <v>3</v>
      </c>
      <c r="D135" t="s">
        <v>53</v>
      </c>
      <c r="E135">
        <v>2</v>
      </c>
      <c r="F135" t="s">
        <v>112</v>
      </c>
      <c r="G135">
        <f>319</f>
        <v>319</v>
      </c>
      <c r="H135" s="33">
        <f>345*1.0569</f>
        <v>364.63049999999998</v>
      </c>
      <c r="I135">
        <f>80</f>
        <v>80</v>
      </c>
      <c r="J135" s="32">
        <f>Table1[[#This Row],[Target]]/Table1[[#This Row],[Price]]</f>
        <v>91.386090225563905</v>
      </c>
      <c r="K135">
        <v>3.99</v>
      </c>
    </row>
    <row r="136" spans="1:11" hidden="1">
      <c r="A136">
        <v>1</v>
      </c>
      <c r="B136" t="s">
        <v>15</v>
      </c>
      <c r="C136">
        <v>3</v>
      </c>
      <c r="D136" t="s">
        <v>53</v>
      </c>
      <c r="E136">
        <v>3</v>
      </c>
      <c r="F136" t="s">
        <v>88</v>
      </c>
      <c r="G136">
        <f>356</f>
        <v>356</v>
      </c>
      <c r="H136" s="33">
        <f>375*1.0569</f>
        <v>396.33749999999998</v>
      </c>
      <c r="I136">
        <f>70</f>
        <v>70</v>
      </c>
      <c r="J136" s="32">
        <f>Table1[[#This Row],[Target]]/Table1[[#This Row],[Price]]</f>
        <v>77.865913555992137</v>
      </c>
      <c r="K136">
        <v>5.09</v>
      </c>
    </row>
    <row r="137" spans="1:11" hidden="1">
      <c r="A137">
        <v>1</v>
      </c>
      <c r="B137" t="s">
        <v>16</v>
      </c>
      <c r="C137">
        <v>1</v>
      </c>
      <c r="D137" t="s">
        <v>51</v>
      </c>
      <c r="E137">
        <v>1</v>
      </c>
      <c r="F137" t="s">
        <v>69</v>
      </c>
      <c r="G137">
        <f>322</f>
        <v>322</v>
      </c>
      <c r="H137" s="33">
        <f>300*1.0582</f>
        <v>317.46000000000004</v>
      </c>
      <c r="I137">
        <f>180</f>
        <v>180</v>
      </c>
      <c r="J137" s="32">
        <f>Table1[[#This Row],[Target]]/Table1[[#This Row],[Price]]</f>
        <v>177.35195530726259</v>
      </c>
      <c r="K137" s="14">
        <v>1.79</v>
      </c>
    </row>
    <row r="138" spans="1:11" hidden="1">
      <c r="A138">
        <v>1</v>
      </c>
      <c r="B138" t="s">
        <v>16</v>
      </c>
      <c r="C138">
        <v>1</v>
      </c>
      <c r="D138" t="s">
        <v>51</v>
      </c>
      <c r="E138">
        <v>2</v>
      </c>
      <c r="F138" t="s">
        <v>121</v>
      </c>
      <c r="G138">
        <f>399</f>
        <v>399</v>
      </c>
      <c r="H138" s="33">
        <f>380*1.0582</f>
        <v>402.11599999999999</v>
      </c>
      <c r="I138">
        <f>100</f>
        <v>100</v>
      </c>
      <c r="J138" s="32">
        <f>Table1[[#This Row],[Target]]/Table1[[#This Row],[Price]]</f>
        <v>100.78095238095237</v>
      </c>
      <c r="K138">
        <v>3.99</v>
      </c>
    </row>
    <row r="139" spans="1:11">
      <c r="A139">
        <v>1</v>
      </c>
      <c r="B139" t="s">
        <v>16</v>
      </c>
      <c r="C139">
        <v>1</v>
      </c>
      <c r="D139" t="s">
        <v>51</v>
      </c>
      <c r="E139">
        <v>3</v>
      </c>
      <c r="F139" t="s">
        <v>122</v>
      </c>
      <c r="G139">
        <f>143</f>
        <v>143</v>
      </c>
      <c r="H139" s="33">
        <f>170*1.0582</f>
        <v>179.89400000000001</v>
      </c>
      <c r="I139">
        <f>85</f>
        <v>85</v>
      </c>
      <c r="J139" s="32">
        <f>Table1[[#This Row],[Target]]/Table1[[#This Row],[Price]]</f>
        <v>106.44615384615385</v>
      </c>
      <c r="K139">
        <v>1.69</v>
      </c>
    </row>
    <row r="140" spans="1:11" hidden="1">
      <c r="A140">
        <v>1</v>
      </c>
      <c r="B140" t="s">
        <v>16</v>
      </c>
      <c r="C140">
        <v>2</v>
      </c>
      <c r="D140" t="s">
        <v>52</v>
      </c>
      <c r="E140">
        <v>1</v>
      </c>
      <c r="F140" t="s">
        <v>78</v>
      </c>
      <c r="G140">
        <f>539</f>
        <v>539</v>
      </c>
      <c r="H140" s="33">
        <f>525*1.0578</f>
        <v>555.34500000000003</v>
      </c>
      <c r="I140">
        <f>90</f>
        <v>90</v>
      </c>
      <c r="J140" s="32">
        <f>Table1[[#This Row],[Target]]/Table1[[#This Row],[Price]]</f>
        <v>92.712020033388981</v>
      </c>
      <c r="K140">
        <v>5.99</v>
      </c>
    </row>
    <row r="141" spans="1:11" hidden="1">
      <c r="A141">
        <v>1</v>
      </c>
      <c r="B141" t="s">
        <v>16</v>
      </c>
      <c r="C141">
        <v>2</v>
      </c>
      <c r="D141" t="s">
        <v>52</v>
      </c>
      <c r="E141">
        <v>2</v>
      </c>
      <c r="F141" t="s">
        <v>79</v>
      </c>
      <c r="G141">
        <f>169</f>
        <v>169</v>
      </c>
      <c r="H141" s="33">
        <f>180*1.0578</f>
        <v>190.40400000000002</v>
      </c>
      <c r="I141">
        <f>85</f>
        <v>85</v>
      </c>
      <c r="J141" s="32">
        <f>Table1[[#This Row],[Target]]/Table1[[#This Row],[Price]]</f>
        <v>95.680402010050258</v>
      </c>
      <c r="K141">
        <v>1.99</v>
      </c>
    </row>
    <row r="142" spans="1:11" hidden="1">
      <c r="A142">
        <v>1</v>
      </c>
      <c r="B142" t="s">
        <v>16</v>
      </c>
      <c r="C142">
        <v>2</v>
      </c>
      <c r="D142" t="s">
        <v>52</v>
      </c>
      <c r="E142">
        <v>3</v>
      </c>
      <c r="F142" t="s">
        <v>80</v>
      </c>
      <c r="G142">
        <f>69</f>
        <v>69</v>
      </c>
      <c r="H142" s="33">
        <f>80*1.0578</f>
        <v>84.624000000000009</v>
      </c>
      <c r="I142">
        <f>70</f>
        <v>70</v>
      </c>
      <c r="J142" s="32">
        <f>Table1[[#This Row],[Target]]/Table1[[#This Row],[Price]]</f>
        <v>85.478787878787884</v>
      </c>
      <c r="K142">
        <v>0.99</v>
      </c>
    </row>
    <row r="143" spans="1:11" hidden="1">
      <c r="A143">
        <v>1</v>
      </c>
      <c r="B143" t="s">
        <v>17</v>
      </c>
      <c r="C143">
        <v>3</v>
      </c>
      <c r="D143" t="s">
        <v>53</v>
      </c>
      <c r="E143">
        <v>1</v>
      </c>
      <c r="F143" t="s">
        <v>111</v>
      </c>
      <c r="G143">
        <f>564</f>
        <v>564</v>
      </c>
      <c r="H143" s="33">
        <f>550*1.0465</f>
        <v>575.57500000000005</v>
      </c>
      <c r="I143">
        <f>87</f>
        <v>87</v>
      </c>
      <c r="J143" s="32">
        <f>Table1[[#This Row],[Target]]/Table1[[#This Row],[Price]]</f>
        <v>88.686440677966104</v>
      </c>
      <c r="K143">
        <v>6.49</v>
      </c>
    </row>
    <row r="144" spans="1:11" hidden="1">
      <c r="A144">
        <v>1</v>
      </c>
      <c r="B144" t="s">
        <v>17</v>
      </c>
      <c r="C144">
        <v>3</v>
      </c>
      <c r="D144" t="s">
        <v>53</v>
      </c>
      <c r="E144">
        <v>2</v>
      </c>
      <c r="F144" t="s">
        <v>112</v>
      </c>
      <c r="G144">
        <f>319</f>
        <v>319</v>
      </c>
      <c r="H144" s="33">
        <f>345*1.0465</f>
        <v>361.04250000000002</v>
      </c>
      <c r="I144">
        <f>80</f>
        <v>80</v>
      </c>
      <c r="J144" s="32">
        <f>Table1[[#This Row],[Target]]/Table1[[#This Row],[Price]]</f>
        <v>90.486842105263165</v>
      </c>
      <c r="K144">
        <v>3.99</v>
      </c>
    </row>
    <row r="145" spans="1:11" hidden="1">
      <c r="A145">
        <v>1</v>
      </c>
      <c r="B145" t="s">
        <v>17</v>
      </c>
      <c r="C145">
        <v>3</v>
      </c>
      <c r="D145" t="s">
        <v>53</v>
      </c>
      <c r="E145">
        <v>3</v>
      </c>
      <c r="F145" t="s">
        <v>88</v>
      </c>
      <c r="G145">
        <f>356</f>
        <v>356</v>
      </c>
      <c r="H145" s="33">
        <f>375*1.0465</f>
        <v>392.4375</v>
      </c>
      <c r="I145">
        <f>70</f>
        <v>70</v>
      </c>
      <c r="J145" s="32">
        <f>Table1[[#This Row],[Target]]/Table1[[#This Row],[Price]]</f>
        <v>77.099705304518665</v>
      </c>
      <c r="K145">
        <v>5.09</v>
      </c>
    </row>
    <row r="146" spans="1:11" hidden="1">
      <c r="A146">
        <v>1</v>
      </c>
      <c r="B146" t="s">
        <v>17</v>
      </c>
      <c r="C146">
        <v>1</v>
      </c>
      <c r="D146" t="s">
        <v>51</v>
      </c>
      <c r="E146">
        <v>1</v>
      </c>
      <c r="F146" t="s">
        <v>69</v>
      </c>
      <c r="G146">
        <f>322</f>
        <v>322</v>
      </c>
      <c r="H146" s="33">
        <f>300*1.0825</f>
        <v>324.75</v>
      </c>
      <c r="I146">
        <f>180</f>
        <v>180</v>
      </c>
      <c r="J146" s="32">
        <f>Table1[[#This Row],[Target]]/Table1[[#This Row],[Price]]</f>
        <v>181.42458100558659</v>
      </c>
      <c r="K146" s="14">
        <v>1.79</v>
      </c>
    </row>
    <row r="147" spans="1:11" hidden="1">
      <c r="A147">
        <v>1</v>
      </c>
      <c r="B147" t="s">
        <v>17</v>
      </c>
      <c r="C147">
        <v>1</v>
      </c>
      <c r="D147" t="s">
        <v>51</v>
      </c>
      <c r="E147">
        <v>2</v>
      </c>
      <c r="F147" t="s">
        <v>121</v>
      </c>
      <c r="G147">
        <f>399</f>
        <v>399</v>
      </c>
      <c r="H147" s="33">
        <f>380*1.0825</f>
        <v>411.35</v>
      </c>
      <c r="I147">
        <f>100</f>
        <v>100</v>
      </c>
      <c r="J147" s="32">
        <f>Table1[[#This Row],[Target]]/Table1[[#This Row],[Price]]</f>
        <v>103.0952380952381</v>
      </c>
      <c r="K147">
        <v>3.99</v>
      </c>
    </row>
    <row r="148" spans="1:11">
      <c r="A148">
        <v>1</v>
      </c>
      <c r="B148" t="s">
        <v>17</v>
      </c>
      <c r="C148">
        <v>1</v>
      </c>
      <c r="D148" t="s">
        <v>51</v>
      </c>
      <c r="E148">
        <v>3</v>
      </c>
      <c r="F148" t="s">
        <v>122</v>
      </c>
      <c r="G148">
        <f>143</f>
        <v>143</v>
      </c>
      <c r="H148" s="33">
        <f>170*1.0825</f>
        <v>184.02500000000001</v>
      </c>
      <c r="I148">
        <f>85</f>
        <v>85</v>
      </c>
      <c r="J148" s="32">
        <f>Table1[[#This Row],[Target]]/Table1[[#This Row],[Price]]</f>
        <v>108.8905325443787</v>
      </c>
      <c r="K148">
        <v>1.69</v>
      </c>
    </row>
    <row r="149" spans="1:11" hidden="1">
      <c r="A149">
        <v>1</v>
      </c>
      <c r="B149" t="s">
        <v>17</v>
      </c>
      <c r="C149">
        <v>2</v>
      </c>
      <c r="D149" t="s">
        <v>52</v>
      </c>
      <c r="E149">
        <v>1</v>
      </c>
      <c r="F149" t="s">
        <v>78</v>
      </c>
      <c r="G149">
        <f>539</f>
        <v>539</v>
      </c>
      <c r="H149" s="33">
        <f>525*1.0236</f>
        <v>537.39</v>
      </c>
      <c r="I149">
        <f>90</f>
        <v>90</v>
      </c>
      <c r="J149" s="32">
        <f>Table1[[#This Row],[Target]]/Table1[[#This Row],[Price]]</f>
        <v>89.714524207011678</v>
      </c>
      <c r="K149">
        <v>5.99</v>
      </c>
    </row>
    <row r="150" spans="1:11" hidden="1">
      <c r="A150">
        <v>1</v>
      </c>
      <c r="B150" t="s">
        <v>17</v>
      </c>
      <c r="C150">
        <v>2</v>
      </c>
      <c r="D150" t="s">
        <v>52</v>
      </c>
      <c r="E150">
        <v>2</v>
      </c>
      <c r="F150" t="s">
        <v>79</v>
      </c>
      <c r="G150">
        <f>169</f>
        <v>169</v>
      </c>
      <c r="H150" s="33">
        <f>180*1.0236</f>
        <v>184.24800000000002</v>
      </c>
      <c r="I150">
        <f>85</f>
        <v>85</v>
      </c>
      <c r="J150" s="32">
        <f>Table1[[#This Row],[Target]]/Table1[[#This Row],[Price]]</f>
        <v>92.586934673366841</v>
      </c>
      <c r="K150">
        <v>1.99</v>
      </c>
    </row>
    <row r="151" spans="1:11" hidden="1">
      <c r="A151">
        <v>1</v>
      </c>
      <c r="B151" t="s">
        <v>17</v>
      </c>
      <c r="C151">
        <v>2</v>
      </c>
      <c r="D151" t="s">
        <v>52</v>
      </c>
      <c r="E151">
        <v>3</v>
      </c>
      <c r="F151" t="s">
        <v>80</v>
      </c>
      <c r="G151">
        <f>69</f>
        <v>69</v>
      </c>
      <c r="H151" s="33">
        <f>80*1.0236</f>
        <v>81.888000000000005</v>
      </c>
      <c r="I151">
        <f>70</f>
        <v>70</v>
      </c>
      <c r="J151" s="32">
        <f>Table1[[#This Row],[Target]]/Table1[[#This Row],[Price]]</f>
        <v>82.715151515151518</v>
      </c>
      <c r="K151">
        <v>0.99</v>
      </c>
    </row>
    <row r="152" spans="1:11" hidden="1">
      <c r="A152">
        <v>1</v>
      </c>
      <c r="B152" t="s">
        <v>17</v>
      </c>
      <c r="C152">
        <v>3</v>
      </c>
      <c r="D152" t="s">
        <v>53</v>
      </c>
      <c r="E152">
        <v>1</v>
      </c>
      <c r="F152" t="s">
        <v>111</v>
      </c>
      <c r="G152">
        <f>564</f>
        <v>564</v>
      </c>
      <c r="H152" s="33">
        <f>550*0.6875</f>
        <v>378.125</v>
      </c>
      <c r="I152">
        <f>87</f>
        <v>87</v>
      </c>
      <c r="J152" s="32">
        <f>Table1[[#This Row],[Target]]/Table1[[#This Row],[Price]]</f>
        <v>58.262711864406775</v>
      </c>
      <c r="K152">
        <v>6.49</v>
      </c>
    </row>
    <row r="153" spans="1:11" hidden="1">
      <c r="A153">
        <v>1</v>
      </c>
      <c r="B153" t="s">
        <v>17</v>
      </c>
      <c r="C153">
        <v>3</v>
      </c>
      <c r="D153" t="s">
        <v>53</v>
      </c>
      <c r="E153">
        <v>2</v>
      </c>
      <c r="F153" t="s">
        <v>112</v>
      </c>
      <c r="G153">
        <f>319</f>
        <v>319</v>
      </c>
      <c r="H153" s="33">
        <f>345*0.6875</f>
        <v>237.1875</v>
      </c>
      <c r="I153">
        <f>80</f>
        <v>80</v>
      </c>
      <c r="J153" s="32">
        <f>Table1[[#This Row],[Target]]/Table1[[#This Row],[Price]]</f>
        <v>59.445488721804509</v>
      </c>
      <c r="K153">
        <v>3.99</v>
      </c>
    </row>
    <row r="154" spans="1:11" hidden="1">
      <c r="A154">
        <v>1</v>
      </c>
      <c r="B154" t="s">
        <v>17</v>
      </c>
      <c r="C154">
        <v>3</v>
      </c>
      <c r="D154" t="s">
        <v>53</v>
      </c>
      <c r="E154">
        <v>3</v>
      </c>
      <c r="F154" t="s">
        <v>88</v>
      </c>
      <c r="G154">
        <f>356</f>
        <v>356</v>
      </c>
      <c r="H154" s="33">
        <f>375*0.6875</f>
        <v>257.8125</v>
      </c>
      <c r="I154">
        <f>70</f>
        <v>70</v>
      </c>
      <c r="J154" s="32">
        <f>Table1[[#This Row],[Target]]/Table1[[#This Row],[Price]]</f>
        <v>50.650785854616899</v>
      </c>
      <c r="K154">
        <v>5.09</v>
      </c>
    </row>
    <row r="155" spans="1:11" hidden="1">
      <c r="A155">
        <v>1</v>
      </c>
      <c r="B155" t="s">
        <v>18</v>
      </c>
      <c r="C155">
        <v>1</v>
      </c>
      <c r="D155" t="s">
        <v>51</v>
      </c>
      <c r="E155">
        <v>1</v>
      </c>
      <c r="F155" t="s">
        <v>69</v>
      </c>
      <c r="G155">
        <f>322</f>
        <v>322</v>
      </c>
      <c r="H155" s="33">
        <f>300*1.092</f>
        <v>327.60000000000002</v>
      </c>
      <c r="I155">
        <f>180</f>
        <v>180</v>
      </c>
      <c r="J155" s="32">
        <f>Table1[[#This Row],[Target]]/Table1[[#This Row],[Price]]</f>
        <v>183.01675977653633</v>
      </c>
      <c r="K155" s="14">
        <v>1.79</v>
      </c>
    </row>
    <row r="156" spans="1:11" hidden="1">
      <c r="A156">
        <v>1</v>
      </c>
      <c r="B156" t="s">
        <v>18</v>
      </c>
      <c r="C156">
        <v>1</v>
      </c>
      <c r="D156" t="s">
        <v>51</v>
      </c>
      <c r="E156">
        <v>2</v>
      </c>
      <c r="F156" t="s">
        <v>121</v>
      </c>
      <c r="G156">
        <f>399</f>
        <v>399</v>
      </c>
      <c r="H156" s="33">
        <f>380*1.092</f>
        <v>414.96000000000004</v>
      </c>
      <c r="I156">
        <f>100</f>
        <v>100</v>
      </c>
      <c r="J156" s="32">
        <f>Table1[[#This Row],[Target]]/Table1[[#This Row],[Price]]</f>
        <v>104</v>
      </c>
      <c r="K156">
        <v>3.99</v>
      </c>
    </row>
    <row r="157" spans="1:11">
      <c r="A157">
        <v>1</v>
      </c>
      <c r="B157" t="s">
        <v>18</v>
      </c>
      <c r="C157">
        <v>1</v>
      </c>
      <c r="D157" t="s">
        <v>51</v>
      </c>
      <c r="E157">
        <v>3</v>
      </c>
      <c r="F157" t="s">
        <v>122</v>
      </c>
      <c r="G157">
        <f>143</f>
        <v>143</v>
      </c>
      <c r="H157" s="33">
        <f>170*1.092</f>
        <v>185.64000000000001</v>
      </c>
      <c r="I157">
        <f>85</f>
        <v>85</v>
      </c>
      <c r="J157" s="32">
        <f>Table1[[#This Row],[Target]]/Table1[[#This Row],[Price]]</f>
        <v>109.84615384615385</v>
      </c>
      <c r="K157">
        <v>1.69</v>
      </c>
    </row>
    <row r="158" spans="1:11" hidden="1">
      <c r="A158">
        <v>1</v>
      </c>
      <c r="B158" t="s">
        <v>18</v>
      </c>
      <c r="C158">
        <v>2</v>
      </c>
      <c r="D158" t="s">
        <v>52</v>
      </c>
      <c r="E158">
        <v>1</v>
      </c>
      <c r="F158" t="s">
        <v>78</v>
      </c>
      <c r="G158">
        <f>539</f>
        <v>539</v>
      </c>
      <c r="H158" s="33">
        <f>525*1.087-50</f>
        <v>520.67499999999995</v>
      </c>
      <c r="I158">
        <f>90</f>
        <v>90</v>
      </c>
      <c r="J158" s="32">
        <f>Table1[[#This Row],[Target]]/Table1[[#This Row],[Price]]</f>
        <v>86.924040066777948</v>
      </c>
      <c r="K158">
        <v>5.99</v>
      </c>
    </row>
    <row r="159" spans="1:11" hidden="1">
      <c r="A159">
        <v>1</v>
      </c>
      <c r="B159" t="s">
        <v>18</v>
      </c>
      <c r="C159">
        <v>2</v>
      </c>
      <c r="D159" t="s">
        <v>52</v>
      </c>
      <c r="E159">
        <v>2</v>
      </c>
      <c r="F159" t="s">
        <v>79</v>
      </c>
      <c r="G159">
        <f>169</f>
        <v>169</v>
      </c>
      <c r="H159" s="33">
        <f>180*1.087-50</f>
        <v>145.66</v>
      </c>
      <c r="I159">
        <f>85</f>
        <v>85</v>
      </c>
      <c r="J159" s="32">
        <f>Table1[[#This Row],[Target]]/Table1[[#This Row],[Price]]</f>
        <v>73.195979899497488</v>
      </c>
      <c r="K159">
        <v>1.99</v>
      </c>
    </row>
    <row r="160" spans="1:11" hidden="1">
      <c r="A160">
        <v>1</v>
      </c>
      <c r="B160" t="s">
        <v>18</v>
      </c>
      <c r="C160">
        <v>2</v>
      </c>
      <c r="D160" t="s">
        <v>52</v>
      </c>
      <c r="E160">
        <v>3</v>
      </c>
      <c r="F160" t="s">
        <v>80</v>
      </c>
      <c r="G160">
        <f>69</f>
        <v>69</v>
      </c>
      <c r="H160" s="33">
        <f>80*1.087</f>
        <v>86.96</v>
      </c>
      <c r="I160">
        <f>70</f>
        <v>70</v>
      </c>
      <c r="J160" s="32">
        <f>Table1[[#This Row],[Target]]/Table1[[#This Row],[Price]]</f>
        <v>87.838383838383834</v>
      </c>
      <c r="K160">
        <v>0.99</v>
      </c>
    </row>
    <row r="161" spans="1:11" hidden="1">
      <c r="A161">
        <v>1</v>
      </c>
      <c r="B161" t="s">
        <v>18</v>
      </c>
      <c r="C161">
        <v>3</v>
      </c>
      <c r="D161" t="s">
        <v>53</v>
      </c>
      <c r="E161">
        <v>1</v>
      </c>
      <c r="F161" t="s">
        <v>111</v>
      </c>
      <c r="G161">
        <f>564</f>
        <v>564</v>
      </c>
      <c r="H161" s="33">
        <f>550*1.131-50-50</f>
        <v>522.04999999999995</v>
      </c>
      <c r="I161">
        <f>87</f>
        <v>87</v>
      </c>
      <c r="J161" s="32">
        <f>Table1[[#This Row],[Target]]/Table1[[#This Row],[Price]]</f>
        <v>80.439137134052373</v>
      </c>
      <c r="K161">
        <v>6.49</v>
      </c>
    </row>
    <row r="162" spans="1:11" hidden="1">
      <c r="A162">
        <v>1</v>
      </c>
      <c r="B162" t="s">
        <v>18</v>
      </c>
      <c r="C162">
        <v>3</v>
      </c>
      <c r="D162" t="s">
        <v>53</v>
      </c>
      <c r="E162">
        <v>2</v>
      </c>
      <c r="F162" t="s">
        <v>112</v>
      </c>
      <c r="G162">
        <f>319</f>
        <v>319</v>
      </c>
      <c r="H162" s="33">
        <f>345*1.131</f>
        <v>390.19499999999999</v>
      </c>
      <c r="I162">
        <f>80</f>
        <v>80</v>
      </c>
      <c r="J162" s="32">
        <f>Table1[[#This Row],[Target]]/Table1[[#This Row],[Price]]</f>
        <v>97.793233082706763</v>
      </c>
      <c r="K162">
        <v>3.99</v>
      </c>
    </row>
    <row r="163" spans="1:11" hidden="1">
      <c r="A163">
        <v>1</v>
      </c>
      <c r="B163" t="s">
        <v>18</v>
      </c>
      <c r="C163">
        <v>3</v>
      </c>
      <c r="D163" t="s">
        <v>53</v>
      </c>
      <c r="E163">
        <v>3</v>
      </c>
      <c r="F163" t="s">
        <v>88</v>
      </c>
      <c r="G163">
        <f>356</f>
        <v>356</v>
      </c>
      <c r="H163" s="33">
        <f>375*1.131</f>
        <v>424.125</v>
      </c>
      <c r="I163">
        <f>70</f>
        <v>70</v>
      </c>
      <c r="J163" s="32">
        <f>Table1[[#This Row],[Target]]/Table1[[#This Row],[Price]]</f>
        <v>83.325147347740668</v>
      </c>
      <c r="K163">
        <v>5.09</v>
      </c>
    </row>
    <row r="164" spans="1:11" hidden="1">
      <c r="A164">
        <v>1</v>
      </c>
      <c r="B164" t="s">
        <v>19</v>
      </c>
      <c r="C164">
        <v>1</v>
      </c>
      <c r="D164" t="s">
        <v>51</v>
      </c>
      <c r="E164">
        <v>1</v>
      </c>
      <c r="F164" t="s">
        <v>69</v>
      </c>
      <c r="G164">
        <f>322</f>
        <v>322</v>
      </c>
      <c r="H164" s="33">
        <f>300*0.727</f>
        <v>218.1</v>
      </c>
      <c r="I164">
        <f>180</f>
        <v>180</v>
      </c>
      <c r="J164" s="32">
        <f>Table1[[#This Row],[Target]]/Table1[[#This Row],[Price]]</f>
        <v>121.8435754189944</v>
      </c>
      <c r="K164" s="14">
        <v>1.79</v>
      </c>
    </row>
    <row r="165" spans="1:11" hidden="1">
      <c r="A165">
        <v>1</v>
      </c>
      <c r="B165" t="s">
        <v>19</v>
      </c>
      <c r="C165">
        <v>1</v>
      </c>
      <c r="D165" t="s">
        <v>51</v>
      </c>
      <c r="E165">
        <v>2</v>
      </c>
      <c r="F165" t="s">
        <v>121</v>
      </c>
      <c r="G165">
        <f>399</f>
        <v>399</v>
      </c>
      <c r="H165" s="33">
        <f>380*0.727</f>
        <v>276.26</v>
      </c>
      <c r="I165">
        <f>100</f>
        <v>100</v>
      </c>
      <c r="J165" s="32">
        <f>Table1[[#This Row],[Target]]/Table1[[#This Row],[Price]]</f>
        <v>69.238095238095227</v>
      </c>
      <c r="K165">
        <v>3.99</v>
      </c>
    </row>
    <row r="166" spans="1:11">
      <c r="A166">
        <v>1</v>
      </c>
      <c r="B166" t="s">
        <v>19</v>
      </c>
      <c r="C166">
        <v>1</v>
      </c>
      <c r="D166" t="s">
        <v>51</v>
      </c>
      <c r="E166">
        <v>3</v>
      </c>
      <c r="F166" t="s">
        <v>122</v>
      </c>
      <c r="G166">
        <f>143</f>
        <v>143</v>
      </c>
      <c r="H166" s="33">
        <f>170*0.727</f>
        <v>123.59</v>
      </c>
      <c r="I166">
        <f>85</f>
        <v>85</v>
      </c>
      <c r="J166" s="32">
        <f>Table1[[#This Row],[Target]]/Table1[[#This Row],[Price]]</f>
        <v>73.130177514792905</v>
      </c>
      <c r="K166">
        <v>1.69</v>
      </c>
    </row>
    <row r="167" spans="1:11" hidden="1">
      <c r="A167">
        <v>1</v>
      </c>
      <c r="B167" t="s">
        <v>19</v>
      </c>
      <c r="C167">
        <v>2</v>
      </c>
      <c r="D167" t="s">
        <v>52</v>
      </c>
      <c r="E167">
        <v>1</v>
      </c>
      <c r="F167" t="s">
        <v>78</v>
      </c>
      <c r="G167">
        <f>539</f>
        <v>539</v>
      </c>
      <c r="H167" s="33">
        <f>525*1.0149</f>
        <v>532.82249999999999</v>
      </c>
      <c r="I167">
        <f>90</f>
        <v>90</v>
      </c>
      <c r="J167" s="32">
        <f>Table1[[#This Row],[Target]]/Table1[[#This Row],[Price]]</f>
        <v>88.952003338898166</v>
      </c>
      <c r="K167">
        <v>5.99</v>
      </c>
    </row>
    <row r="168" spans="1:11" hidden="1">
      <c r="A168">
        <v>1</v>
      </c>
      <c r="B168" t="s">
        <v>19</v>
      </c>
      <c r="C168">
        <v>2</v>
      </c>
      <c r="D168" t="s">
        <v>52</v>
      </c>
      <c r="E168">
        <v>2</v>
      </c>
      <c r="F168" t="s">
        <v>79</v>
      </c>
      <c r="G168">
        <f>169</f>
        <v>169</v>
      </c>
      <c r="H168" s="33">
        <f>180*1.0149</f>
        <v>182.68199999999999</v>
      </c>
      <c r="I168">
        <f>85</f>
        <v>85</v>
      </c>
      <c r="J168" s="32">
        <f>Table1[[#This Row],[Target]]/Table1[[#This Row],[Price]]</f>
        <v>91.8</v>
      </c>
      <c r="K168">
        <v>1.99</v>
      </c>
    </row>
    <row r="169" spans="1:11" hidden="1">
      <c r="A169">
        <v>1</v>
      </c>
      <c r="B169" t="s">
        <v>19</v>
      </c>
      <c r="C169">
        <v>2</v>
      </c>
      <c r="D169" t="s">
        <v>52</v>
      </c>
      <c r="E169">
        <v>3</v>
      </c>
      <c r="F169" t="s">
        <v>80</v>
      </c>
      <c r="G169">
        <f>69</f>
        <v>69</v>
      </c>
      <c r="H169" s="33">
        <f>80*1.0149</f>
        <v>81.191999999999993</v>
      </c>
      <c r="I169">
        <f>70</f>
        <v>70</v>
      </c>
      <c r="J169" s="32">
        <f>Table1[[#This Row],[Target]]/Table1[[#This Row],[Price]]</f>
        <v>82.012121212121201</v>
      </c>
      <c r="K169">
        <v>0.99</v>
      </c>
    </row>
    <row r="170" spans="1:11" hidden="1">
      <c r="A170">
        <v>1</v>
      </c>
      <c r="B170" t="s">
        <v>19</v>
      </c>
      <c r="C170">
        <v>3</v>
      </c>
      <c r="D170" t="s">
        <v>53</v>
      </c>
      <c r="E170">
        <v>1</v>
      </c>
      <c r="F170" t="s">
        <v>111</v>
      </c>
      <c r="G170">
        <f>564</f>
        <v>564</v>
      </c>
      <c r="H170" s="33">
        <f>550*1.0236-50</f>
        <v>512.98</v>
      </c>
      <c r="I170">
        <f>87</f>
        <v>87</v>
      </c>
      <c r="J170" s="32">
        <f>Table1[[#This Row],[Target]]/Table1[[#This Row],[Price]]</f>
        <v>79.04160246533128</v>
      </c>
      <c r="K170">
        <v>6.49</v>
      </c>
    </row>
    <row r="171" spans="1:11" hidden="1">
      <c r="A171">
        <v>1</v>
      </c>
      <c r="B171" t="s">
        <v>19</v>
      </c>
      <c r="C171">
        <v>3</v>
      </c>
      <c r="D171" t="s">
        <v>53</v>
      </c>
      <c r="E171">
        <v>2</v>
      </c>
      <c r="F171" t="s">
        <v>112</v>
      </c>
      <c r="G171">
        <f>319</f>
        <v>319</v>
      </c>
      <c r="H171" s="33">
        <f>345*1.0236-50</f>
        <v>303.142</v>
      </c>
      <c r="I171">
        <f>80</f>
        <v>80</v>
      </c>
      <c r="J171" s="32">
        <f>Table1[[#This Row],[Target]]/Table1[[#This Row],[Price]]</f>
        <v>75.975438596491216</v>
      </c>
      <c r="K171">
        <v>3.99</v>
      </c>
    </row>
    <row r="172" spans="1:11" hidden="1">
      <c r="A172">
        <v>1</v>
      </c>
      <c r="B172" t="s">
        <v>19</v>
      </c>
      <c r="C172">
        <v>3</v>
      </c>
      <c r="D172" t="s">
        <v>53</v>
      </c>
      <c r="E172">
        <v>3</v>
      </c>
      <c r="F172" t="s">
        <v>88</v>
      </c>
      <c r="G172">
        <f>356</f>
        <v>356</v>
      </c>
      <c r="H172" s="33">
        <f>375*1.0236-50</f>
        <v>333.85</v>
      </c>
      <c r="I172">
        <f>70</f>
        <v>70</v>
      </c>
      <c r="J172" s="32">
        <f>Table1[[#This Row],[Target]]/Table1[[#This Row],[Price]]</f>
        <v>65.589390962671914</v>
      </c>
      <c r="K172">
        <v>5.09</v>
      </c>
    </row>
    <row r="173" spans="1:11" hidden="1">
      <c r="A173">
        <v>1</v>
      </c>
      <c r="B173" t="s">
        <v>20</v>
      </c>
      <c r="C173">
        <v>1</v>
      </c>
      <c r="D173" t="s">
        <v>51</v>
      </c>
      <c r="E173">
        <v>1</v>
      </c>
      <c r="F173" t="s">
        <v>69</v>
      </c>
      <c r="G173">
        <f>322</f>
        <v>322</v>
      </c>
      <c r="H173" s="33">
        <f>300*1.0186</f>
        <v>305.58</v>
      </c>
      <c r="I173">
        <f>180</f>
        <v>180</v>
      </c>
      <c r="J173" s="32">
        <f>Table1[[#This Row],[Target]]/Table1[[#This Row],[Price]]</f>
        <v>170.71508379888266</v>
      </c>
      <c r="K173" s="14">
        <v>1.79</v>
      </c>
    </row>
    <row r="174" spans="1:11" hidden="1">
      <c r="A174">
        <v>1</v>
      </c>
      <c r="B174" t="s">
        <v>20</v>
      </c>
      <c r="C174">
        <v>1</v>
      </c>
      <c r="D174" t="s">
        <v>51</v>
      </c>
      <c r="E174">
        <v>2</v>
      </c>
      <c r="F174" t="s">
        <v>121</v>
      </c>
      <c r="G174">
        <f>399</f>
        <v>399</v>
      </c>
      <c r="H174" s="33">
        <f>380*1.0186</f>
        <v>387.06799999999998</v>
      </c>
      <c r="I174">
        <f>100</f>
        <v>100</v>
      </c>
      <c r="J174" s="32">
        <f>Table1[[#This Row],[Target]]/Table1[[#This Row],[Price]]</f>
        <v>97.009523809523799</v>
      </c>
      <c r="K174">
        <v>3.99</v>
      </c>
    </row>
    <row r="175" spans="1:11">
      <c r="A175">
        <v>1</v>
      </c>
      <c r="B175" t="s">
        <v>20</v>
      </c>
      <c r="C175">
        <v>1</v>
      </c>
      <c r="D175" t="s">
        <v>51</v>
      </c>
      <c r="E175">
        <v>3</v>
      </c>
      <c r="F175" t="s">
        <v>122</v>
      </c>
      <c r="G175">
        <f>143</f>
        <v>143</v>
      </c>
      <c r="H175" s="33">
        <f>170*1.0186</f>
        <v>173.16199999999998</v>
      </c>
      <c r="I175">
        <f>85</f>
        <v>85</v>
      </c>
      <c r="J175" s="32">
        <f>Table1[[#This Row],[Target]]/Table1[[#This Row],[Price]]</f>
        <v>102.46272189349112</v>
      </c>
      <c r="K175">
        <v>1.69</v>
      </c>
    </row>
    <row r="176" spans="1:11" hidden="1">
      <c r="A176">
        <v>1</v>
      </c>
      <c r="B176" t="s">
        <v>20</v>
      </c>
      <c r="C176">
        <v>2</v>
      </c>
      <c r="D176" t="s">
        <v>52</v>
      </c>
      <c r="E176">
        <v>1</v>
      </c>
      <c r="F176" t="s">
        <v>78</v>
      </c>
      <c r="G176">
        <f>539</f>
        <v>539</v>
      </c>
      <c r="H176" s="33">
        <f>525*1.0929-50</f>
        <v>523.77250000000004</v>
      </c>
      <c r="I176">
        <f>90</f>
        <v>90</v>
      </c>
      <c r="J176" s="32">
        <f>Table1[[#This Row],[Target]]/Table1[[#This Row],[Price]]</f>
        <v>87.441151919866442</v>
      </c>
      <c r="K176">
        <v>5.99</v>
      </c>
    </row>
    <row r="177" spans="1:11" hidden="1">
      <c r="A177">
        <v>1</v>
      </c>
      <c r="B177" t="s">
        <v>20</v>
      </c>
      <c r="C177">
        <v>2</v>
      </c>
      <c r="D177" t="s">
        <v>52</v>
      </c>
      <c r="E177">
        <v>2</v>
      </c>
      <c r="F177" t="s">
        <v>79</v>
      </c>
      <c r="G177">
        <f>169</f>
        <v>169</v>
      </c>
      <c r="H177" s="33">
        <f>180*1.0929</f>
        <v>196.72200000000001</v>
      </c>
      <c r="I177">
        <f>85</f>
        <v>85</v>
      </c>
      <c r="J177" s="32">
        <f>Table1[[#This Row],[Target]]/Table1[[#This Row],[Price]]</f>
        <v>98.855276381909547</v>
      </c>
      <c r="K177">
        <v>1.99</v>
      </c>
    </row>
    <row r="178" spans="1:11" hidden="1">
      <c r="A178">
        <v>1</v>
      </c>
      <c r="B178" t="s">
        <v>20</v>
      </c>
      <c r="C178">
        <v>2</v>
      </c>
      <c r="D178" t="s">
        <v>52</v>
      </c>
      <c r="E178">
        <v>3</v>
      </c>
      <c r="F178" t="s">
        <v>80</v>
      </c>
      <c r="G178">
        <f>69</f>
        <v>69</v>
      </c>
      <c r="H178" s="33">
        <f>80*1.0929</f>
        <v>87.432000000000002</v>
      </c>
      <c r="I178">
        <f>70</f>
        <v>70</v>
      </c>
      <c r="J178" s="32">
        <f>Table1[[#This Row],[Target]]/Table1[[#This Row],[Price]]</f>
        <v>88.315151515151513</v>
      </c>
      <c r="K178">
        <v>0.99</v>
      </c>
    </row>
    <row r="179" spans="1:11" hidden="1">
      <c r="A179">
        <v>1</v>
      </c>
      <c r="B179" t="s">
        <v>20</v>
      </c>
      <c r="C179">
        <v>3</v>
      </c>
      <c r="D179" t="s">
        <v>53</v>
      </c>
      <c r="E179">
        <v>1</v>
      </c>
      <c r="F179" t="s">
        <v>111</v>
      </c>
      <c r="G179">
        <f>564</f>
        <v>564</v>
      </c>
      <c r="H179" s="33">
        <f>550*1.0875</f>
        <v>598.125</v>
      </c>
      <c r="I179">
        <f>87</f>
        <v>87</v>
      </c>
      <c r="J179" s="32">
        <f>Table1[[#This Row],[Target]]/Table1[[#This Row],[Price]]</f>
        <v>92.16101694915254</v>
      </c>
      <c r="K179">
        <v>6.49</v>
      </c>
    </row>
    <row r="180" spans="1:11" hidden="1">
      <c r="A180">
        <v>1</v>
      </c>
      <c r="B180" t="s">
        <v>20</v>
      </c>
      <c r="C180">
        <v>3</v>
      </c>
      <c r="D180" t="s">
        <v>53</v>
      </c>
      <c r="E180">
        <v>2</v>
      </c>
      <c r="F180" t="s">
        <v>112</v>
      </c>
      <c r="G180">
        <f>319</f>
        <v>319</v>
      </c>
      <c r="H180" s="33">
        <f>345*1.0875-50</f>
        <v>325.18749999999994</v>
      </c>
      <c r="I180">
        <f>80</f>
        <v>80</v>
      </c>
      <c r="J180" s="32">
        <f>Table1[[#This Row],[Target]]/Table1[[#This Row],[Price]]</f>
        <v>81.500626566416017</v>
      </c>
      <c r="K180">
        <v>3.99</v>
      </c>
    </row>
    <row r="181" spans="1:11" hidden="1">
      <c r="A181">
        <v>1</v>
      </c>
      <c r="B181" t="s">
        <v>20</v>
      </c>
      <c r="C181">
        <v>3</v>
      </c>
      <c r="D181" t="s">
        <v>53</v>
      </c>
      <c r="E181">
        <v>3</v>
      </c>
      <c r="F181" t="s">
        <v>88</v>
      </c>
      <c r="G181">
        <f>356</f>
        <v>356</v>
      </c>
      <c r="H181" s="33">
        <f>375*1.0875-50-50</f>
        <v>307.81249999999994</v>
      </c>
      <c r="I181">
        <f>70</f>
        <v>70</v>
      </c>
      <c r="J181" s="32">
        <f>Table1[[#This Row],[Target]]/Table1[[#This Row],[Price]]</f>
        <v>60.473968565815312</v>
      </c>
      <c r="K181">
        <v>5.09</v>
      </c>
    </row>
    <row r="182" spans="1:11" hidden="1">
      <c r="A182">
        <v>1</v>
      </c>
      <c r="B182" t="s">
        <v>21</v>
      </c>
      <c r="C182">
        <v>1</v>
      </c>
      <c r="D182" t="s">
        <v>51</v>
      </c>
      <c r="E182">
        <v>1</v>
      </c>
      <c r="F182" t="s">
        <v>69</v>
      </c>
      <c r="G182">
        <f>322</f>
        <v>322</v>
      </c>
      <c r="H182" s="33">
        <f>300*1.0939</f>
        <v>328.17</v>
      </c>
      <c r="I182">
        <f>180</f>
        <v>180</v>
      </c>
      <c r="J182" s="32">
        <f>Table1[[#This Row],[Target]]/Table1[[#This Row],[Price]]</f>
        <v>183.33519553072625</v>
      </c>
      <c r="K182" s="14">
        <v>1.79</v>
      </c>
    </row>
    <row r="183" spans="1:11" hidden="1">
      <c r="A183">
        <v>1</v>
      </c>
      <c r="B183" t="s">
        <v>21</v>
      </c>
      <c r="C183">
        <v>1</v>
      </c>
      <c r="D183" t="s">
        <v>51</v>
      </c>
      <c r="E183">
        <v>2</v>
      </c>
      <c r="F183" t="s">
        <v>121</v>
      </c>
      <c r="G183">
        <f>399</f>
        <v>399</v>
      </c>
      <c r="H183" s="33">
        <f>380*1.0939</f>
        <v>415.68200000000002</v>
      </c>
      <c r="I183">
        <f>100</f>
        <v>100</v>
      </c>
      <c r="J183" s="32">
        <f>Table1[[#This Row],[Target]]/Table1[[#This Row],[Price]]</f>
        <v>104.18095238095238</v>
      </c>
      <c r="K183">
        <v>3.99</v>
      </c>
    </row>
    <row r="184" spans="1:11">
      <c r="A184">
        <v>1</v>
      </c>
      <c r="B184" t="s">
        <v>21</v>
      </c>
      <c r="C184">
        <v>1</v>
      </c>
      <c r="D184" t="s">
        <v>51</v>
      </c>
      <c r="E184">
        <v>3</v>
      </c>
      <c r="F184" t="s">
        <v>122</v>
      </c>
      <c r="G184">
        <f>143</f>
        <v>143</v>
      </c>
      <c r="H184" s="33">
        <f>170*1.0939-50</f>
        <v>135.96300000000002</v>
      </c>
      <c r="I184">
        <f>85</f>
        <v>85</v>
      </c>
      <c r="J184" s="32">
        <f>Table1[[#This Row],[Target]]/Table1[[#This Row],[Price]]</f>
        <v>80.451479289940849</v>
      </c>
      <c r="K184">
        <v>1.69</v>
      </c>
    </row>
    <row r="185" spans="1:11" hidden="1">
      <c r="A185">
        <v>1</v>
      </c>
      <c r="B185" t="s">
        <v>21</v>
      </c>
      <c r="C185">
        <v>2</v>
      </c>
      <c r="D185" t="s">
        <v>52</v>
      </c>
      <c r="E185">
        <v>1</v>
      </c>
      <c r="F185" t="s">
        <v>78</v>
      </c>
      <c r="G185">
        <f>539</f>
        <v>539</v>
      </c>
      <c r="H185" s="33">
        <f>525*0.824</f>
        <v>432.59999999999997</v>
      </c>
      <c r="I185">
        <f>90</f>
        <v>90</v>
      </c>
      <c r="J185" s="32">
        <f>Table1[[#This Row],[Target]]/Table1[[#This Row],[Price]]</f>
        <v>72.220367278797994</v>
      </c>
      <c r="K185">
        <v>5.99</v>
      </c>
    </row>
    <row r="186" spans="1:11" hidden="1">
      <c r="A186">
        <v>1</v>
      </c>
      <c r="B186" t="s">
        <v>21</v>
      </c>
      <c r="C186">
        <v>2</v>
      </c>
      <c r="D186" t="s">
        <v>52</v>
      </c>
      <c r="E186">
        <v>2</v>
      </c>
      <c r="F186" t="s">
        <v>79</v>
      </c>
      <c r="G186">
        <f>169</f>
        <v>169</v>
      </c>
      <c r="H186" s="33">
        <f>180*0.824</f>
        <v>148.32</v>
      </c>
      <c r="I186">
        <f>85</f>
        <v>85</v>
      </c>
      <c r="J186" s="32">
        <f>Table1[[#This Row],[Target]]/Table1[[#This Row],[Price]]</f>
        <v>74.532663316582912</v>
      </c>
      <c r="K186">
        <v>1.99</v>
      </c>
    </row>
    <row r="187" spans="1:11" hidden="1">
      <c r="A187">
        <v>1</v>
      </c>
      <c r="B187" t="s">
        <v>21</v>
      </c>
      <c r="C187">
        <v>2</v>
      </c>
      <c r="D187" t="s">
        <v>52</v>
      </c>
      <c r="E187">
        <v>3</v>
      </c>
      <c r="F187" t="s">
        <v>80</v>
      </c>
      <c r="G187">
        <f>69</f>
        <v>69</v>
      </c>
      <c r="H187" s="33">
        <f>80*0.824</f>
        <v>65.92</v>
      </c>
      <c r="I187">
        <f>70</f>
        <v>70</v>
      </c>
      <c r="J187" s="32">
        <f>Table1[[#This Row],[Target]]/Table1[[#This Row],[Price]]</f>
        <v>66.585858585858588</v>
      </c>
      <c r="K187">
        <v>0.99</v>
      </c>
    </row>
    <row r="188" spans="1:11" hidden="1">
      <c r="A188">
        <v>1</v>
      </c>
      <c r="B188" t="s">
        <v>21</v>
      </c>
      <c r="C188">
        <v>3</v>
      </c>
      <c r="D188" t="s">
        <v>53</v>
      </c>
      <c r="E188">
        <v>1</v>
      </c>
      <c r="F188" t="s">
        <v>111</v>
      </c>
      <c r="G188">
        <f>564</f>
        <v>564</v>
      </c>
      <c r="H188" s="33">
        <f>550*1.0847</f>
        <v>596.58500000000004</v>
      </c>
      <c r="I188">
        <f>87</f>
        <v>87</v>
      </c>
      <c r="J188" s="32">
        <f>Table1[[#This Row],[Target]]/Table1[[#This Row],[Price]]</f>
        <v>91.923728813559322</v>
      </c>
      <c r="K188">
        <v>6.49</v>
      </c>
    </row>
    <row r="189" spans="1:11" hidden="1">
      <c r="A189">
        <v>1</v>
      </c>
      <c r="B189" t="s">
        <v>21</v>
      </c>
      <c r="C189">
        <v>3</v>
      </c>
      <c r="D189" t="s">
        <v>53</v>
      </c>
      <c r="E189">
        <v>2</v>
      </c>
      <c r="F189" t="s">
        <v>112</v>
      </c>
      <c r="G189">
        <f>319</f>
        <v>319</v>
      </c>
      <c r="H189" s="33">
        <f>345*1.0847-50-50</f>
        <v>274.22149999999999</v>
      </c>
      <c r="I189">
        <f>80</f>
        <v>80</v>
      </c>
      <c r="J189" s="32">
        <f>Table1[[#This Row],[Target]]/Table1[[#This Row],[Price]]</f>
        <v>68.727192982456131</v>
      </c>
      <c r="K189">
        <v>3.99</v>
      </c>
    </row>
    <row r="190" spans="1:11" hidden="1">
      <c r="A190">
        <v>1</v>
      </c>
      <c r="B190" t="s">
        <v>21</v>
      </c>
      <c r="C190">
        <v>3</v>
      </c>
      <c r="D190" t="s">
        <v>53</v>
      </c>
      <c r="E190">
        <v>3</v>
      </c>
      <c r="F190" t="s">
        <v>88</v>
      </c>
      <c r="G190">
        <f>356</f>
        <v>356</v>
      </c>
      <c r="H190" s="33">
        <f>375*1.0847</f>
        <v>406.76249999999999</v>
      </c>
      <c r="I190">
        <f>70</f>
        <v>70</v>
      </c>
      <c r="J190" s="32">
        <f>Table1[[#This Row],[Target]]/Table1[[#This Row],[Price]]</f>
        <v>79.914047151277018</v>
      </c>
      <c r="K190">
        <v>5.09</v>
      </c>
    </row>
    <row r="191" spans="1:11" hidden="1">
      <c r="A191">
        <v>1</v>
      </c>
      <c r="B191" t="s">
        <v>22</v>
      </c>
      <c r="C191">
        <v>1</v>
      </c>
      <c r="D191" t="s">
        <v>51</v>
      </c>
      <c r="E191">
        <v>1</v>
      </c>
      <c r="F191" t="s">
        <v>69</v>
      </c>
      <c r="G191">
        <f>322</f>
        <v>322</v>
      </c>
      <c r="H191" s="33">
        <f>300*1.0996</f>
        <v>329.88</v>
      </c>
      <c r="I191">
        <f>180</f>
        <v>180</v>
      </c>
      <c r="J191" s="32">
        <f>Table1[[#This Row],[Target]]/Table1[[#This Row],[Price]]</f>
        <v>184.29050279329607</v>
      </c>
      <c r="K191" s="14">
        <v>1.79</v>
      </c>
    </row>
    <row r="192" spans="1:11" hidden="1">
      <c r="A192">
        <v>1</v>
      </c>
      <c r="B192" t="s">
        <v>22</v>
      </c>
      <c r="C192">
        <v>1</v>
      </c>
      <c r="D192" t="s">
        <v>51</v>
      </c>
      <c r="E192">
        <v>2</v>
      </c>
      <c r="F192" t="s">
        <v>121</v>
      </c>
      <c r="G192">
        <f>399</f>
        <v>399</v>
      </c>
      <c r="H192" s="33">
        <f>380*1.0996-50</f>
        <v>367.84799999999996</v>
      </c>
      <c r="I192">
        <f>100</f>
        <v>100</v>
      </c>
      <c r="J192" s="32">
        <f>Table1[[#This Row],[Target]]/Table1[[#This Row],[Price]]</f>
        <v>92.192481203007503</v>
      </c>
      <c r="K192">
        <v>3.99</v>
      </c>
    </row>
    <row r="193" spans="1:11">
      <c r="A193">
        <v>1</v>
      </c>
      <c r="B193" t="s">
        <v>22</v>
      </c>
      <c r="C193">
        <v>1</v>
      </c>
      <c r="D193" t="s">
        <v>51</v>
      </c>
      <c r="E193">
        <v>3</v>
      </c>
      <c r="F193" t="s">
        <v>122</v>
      </c>
      <c r="G193">
        <f>143</f>
        <v>143</v>
      </c>
      <c r="H193" s="33">
        <f>170*1.0996-50</f>
        <v>136.93199999999999</v>
      </c>
      <c r="I193">
        <f>85</f>
        <v>85</v>
      </c>
      <c r="J193" s="32">
        <f>Table1[[#This Row],[Target]]/Table1[[#This Row],[Price]]</f>
        <v>81.02485207100591</v>
      </c>
      <c r="K193">
        <v>1.69</v>
      </c>
    </row>
    <row r="194" spans="1:11" hidden="1">
      <c r="A194">
        <v>1</v>
      </c>
      <c r="B194" t="s">
        <v>22</v>
      </c>
      <c r="C194">
        <v>2</v>
      </c>
      <c r="D194" t="s">
        <v>52</v>
      </c>
      <c r="E194">
        <v>1</v>
      </c>
      <c r="F194" t="s">
        <v>78</v>
      </c>
      <c r="G194">
        <f>539</f>
        <v>539</v>
      </c>
      <c r="H194" s="33">
        <f>525*1.21-50</f>
        <v>585.25</v>
      </c>
      <c r="I194">
        <f>90</f>
        <v>90</v>
      </c>
      <c r="J194" s="32">
        <f>Table1[[#This Row],[Target]]/Table1[[#This Row],[Price]]</f>
        <v>97.704507512520863</v>
      </c>
      <c r="K194">
        <v>5.99</v>
      </c>
    </row>
    <row r="195" spans="1:11" hidden="1">
      <c r="A195">
        <v>1</v>
      </c>
      <c r="B195" t="s">
        <v>22</v>
      </c>
      <c r="C195">
        <v>2</v>
      </c>
      <c r="D195" t="s">
        <v>52</v>
      </c>
      <c r="E195">
        <v>2</v>
      </c>
      <c r="F195" t="s">
        <v>79</v>
      </c>
      <c r="G195">
        <f>169</f>
        <v>169</v>
      </c>
      <c r="H195" s="33">
        <f>180*1.21-50</f>
        <v>167.79999999999998</v>
      </c>
      <c r="I195">
        <f>85</f>
        <v>85</v>
      </c>
      <c r="J195" s="32">
        <f>Table1[[#This Row],[Target]]/Table1[[#This Row],[Price]]</f>
        <v>84.321608040200999</v>
      </c>
      <c r="K195">
        <v>1.99</v>
      </c>
    </row>
    <row r="196" spans="1:11" hidden="1">
      <c r="A196">
        <v>1</v>
      </c>
      <c r="B196" t="s">
        <v>22</v>
      </c>
      <c r="C196">
        <v>2</v>
      </c>
      <c r="D196" t="s">
        <v>52</v>
      </c>
      <c r="E196">
        <v>3</v>
      </c>
      <c r="F196" t="s">
        <v>80</v>
      </c>
      <c r="G196">
        <f>69</f>
        <v>69</v>
      </c>
      <c r="H196" s="33">
        <f>80*1.21</f>
        <v>96.8</v>
      </c>
      <c r="I196">
        <f>70</f>
        <v>70</v>
      </c>
      <c r="J196" s="32">
        <f>Table1[[#This Row],[Target]]/Table1[[#This Row],[Price]]</f>
        <v>97.777777777777771</v>
      </c>
      <c r="K196">
        <v>0.99</v>
      </c>
    </row>
    <row r="197" spans="1:11" hidden="1">
      <c r="A197">
        <v>1</v>
      </c>
      <c r="B197" t="s">
        <v>22</v>
      </c>
      <c r="C197">
        <v>3</v>
      </c>
      <c r="D197" t="s">
        <v>53</v>
      </c>
      <c r="E197">
        <v>1</v>
      </c>
      <c r="F197" t="s">
        <v>111</v>
      </c>
      <c r="G197">
        <f>564</f>
        <v>564</v>
      </c>
      <c r="H197" s="33">
        <f>550*1.111-50</f>
        <v>561.04999999999995</v>
      </c>
      <c r="I197">
        <f>87</f>
        <v>87</v>
      </c>
      <c r="J197" s="32">
        <f>Table1[[#This Row],[Target]]/Table1[[#This Row],[Price]]</f>
        <v>86.448382126348221</v>
      </c>
      <c r="K197">
        <v>6.49</v>
      </c>
    </row>
    <row r="198" spans="1:11" hidden="1">
      <c r="A198">
        <v>1</v>
      </c>
      <c r="B198" t="s">
        <v>22</v>
      </c>
      <c r="C198">
        <v>3</v>
      </c>
      <c r="D198" t="s">
        <v>53</v>
      </c>
      <c r="E198">
        <v>2</v>
      </c>
      <c r="F198" t="s">
        <v>112</v>
      </c>
      <c r="G198">
        <f>319</f>
        <v>319</v>
      </c>
      <c r="H198" s="33">
        <f>345*1.111</f>
        <v>383.29500000000002</v>
      </c>
      <c r="I198">
        <f>80</f>
        <v>80</v>
      </c>
      <c r="J198" s="32">
        <f>Table1[[#This Row],[Target]]/Table1[[#This Row],[Price]]</f>
        <v>96.063909774436084</v>
      </c>
      <c r="K198">
        <v>3.99</v>
      </c>
    </row>
    <row r="199" spans="1:11" hidden="1">
      <c r="A199">
        <v>1</v>
      </c>
      <c r="B199" t="s">
        <v>22</v>
      </c>
      <c r="C199">
        <v>3</v>
      </c>
      <c r="D199" t="s">
        <v>53</v>
      </c>
      <c r="E199">
        <v>3</v>
      </c>
      <c r="F199" t="s">
        <v>88</v>
      </c>
      <c r="G199">
        <f>356</f>
        <v>356</v>
      </c>
      <c r="H199" s="33">
        <f>375*1.111-50-50</f>
        <v>316.625</v>
      </c>
      <c r="I199">
        <f>70</f>
        <v>70</v>
      </c>
      <c r="J199" s="32">
        <f>Table1[[#This Row],[Target]]/Table1[[#This Row],[Price]]</f>
        <v>62.20530451866405</v>
      </c>
      <c r="K199">
        <v>5.09</v>
      </c>
    </row>
    <row r="200" spans="1:11" hidden="1">
      <c r="A200">
        <v>1</v>
      </c>
      <c r="B200" t="s">
        <v>23</v>
      </c>
      <c r="C200">
        <v>1</v>
      </c>
      <c r="D200" t="s">
        <v>51</v>
      </c>
      <c r="E200">
        <v>1</v>
      </c>
      <c r="F200" t="s">
        <v>69</v>
      </c>
      <c r="G200">
        <f>322</f>
        <v>322</v>
      </c>
      <c r="H200" s="33">
        <f>300*1.0892</f>
        <v>326.76</v>
      </c>
      <c r="I200">
        <f>180</f>
        <v>180</v>
      </c>
      <c r="J200" s="32">
        <f>Table1[[#This Row],[Target]]/Table1[[#This Row],[Price]]</f>
        <v>182.54748603351953</v>
      </c>
      <c r="K200" s="14">
        <v>1.79</v>
      </c>
    </row>
    <row r="201" spans="1:11" hidden="1">
      <c r="A201">
        <v>1</v>
      </c>
      <c r="B201" t="s">
        <v>23</v>
      </c>
      <c r="C201">
        <v>1</v>
      </c>
      <c r="D201" t="s">
        <v>51</v>
      </c>
      <c r="E201">
        <v>2</v>
      </c>
      <c r="F201" t="s">
        <v>121</v>
      </c>
      <c r="G201">
        <f>399</f>
        <v>399</v>
      </c>
      <c r="H201" s="33">
        <f>380*1.0892</f>
        <v>413.89599999999996</v>
      </c>
      <c r="I201">
        <f>100</f>
        <v>100</v>
      </c>
      <c r="J201" s="32">
        <f>Table1[[#This Row],[Target]]/Table1[[#This Row],[Price]]</f>
        <v>103.73333333333332</v>
      </c>
      <c r="K201">
        <v>3.99</v>
      </c>
    </row>
    <row r="202" spans="1:11">
      <c r="A202">
        <v>1</v>
      </c>
      <c r="B202" t="s">
        <v>23</v>
      </c>
      <c r="C202">
        <v>1</v>
      </c>
      <c r="D202" t="s">
        <v>51</v>
      </c>
      <c r="E202">
        <v>3</v>
      </c>
      <c r="F202" t="s">
        <v>122</v>
      </c>
      <c r="G202">
        <f>143</f>
        <v>143</v>
      </c>
      <c r="H202" s="33">
        <f>170*1.0892</f>
        <v>185.16399999999999</v>
      </c>
      <c r="I202">
        <f>85</f>
        <v>85</v>
      </c>
      <c r="J202" s="32">
        <f>Table1[[#This Row],[Target]]/Table1[[#This Row],[Price]]</f>
        <v>109.56449704142011</v>
      </c>
      <c r="K202">
        <v>1.69</v>
      </c>
    </row>
    <row r="203" spans="1:11" hidden="1">
      <c r="A203">
        <v>1</v>
      </c>
      <c r="B203" t="s">
        <v>23</v>
      </c>
      <c r="C203">
        <v>2</v>
      </c>
      <c r="D203" t="s">
        <v>52</v>
      </c>
      <c r="E203">
        <v>1</v>
      </c>
      <c r="F203" t="s">
        <v>78</v>
      </c>
      <c r="G203">
        <f>539</f>
        <v>539</v>
      </c>
      <c r="H203" s="33">
        <f>525*1.0552</f>
        <v>553.9799999999999</v>
      </c>
      <c r="I203">
        <f>90</f>
        <v>90</v>
      </c>
      <c r="J203" s="32">
        <f>Table1[[#This Row],[Target]]/Table1[[#This Row],[Price]]</f>
        <v>92.484140233722854</v>
      </c>
      <c r="K203">
        <v>5.99</v>
      </c>
    </row>
    <row r="204" spans="1:11" hidden="1">
      <c r="A204">
        <v>1</v>
      </c>
      <c r="B204" t="s">
        <v>23</v>
      </c>
      <c r="C204">
        <v>2</v>
      </c>
      <c r="D204" t="s">
        <v>52</v>
      </c>
      <c r="E204">
        <v>2</v>
      </c>
      <c r="F204" t="s">
        <v>79</v>
      </c>
      <c r="G204">
        <f>169</f>
        <v>169</v>
      </c>
      <c r="H204" s="33">
        <f>180*1.0552</f>
        <v>189.93599999999998</v>
      </c>
      <c r="I204">
        <f>85</f>
        <v>85</v>
      </c>
      <c r="J204" s="32">
        <f>Table1[[#This Row],[Target]]/Table1[[#This Row],[Price]]</f>
        <v>95.445226130653253</v>
      </c>
      <c r="K204">
        <v>1.99</v>
      </c>
    </row>
    <row r="205" spans="1:11" hidden="1">
      <c r="A205">
        <v>1</v>
      </c>
      <c r="B205" t="s">
        <v>23</v>
      </c>
      <c r="C205">
        <v>2</v>
      </c>
      <c r="D205" t="s">
        <v>52</v>
      </c>
      <c r="E205">
        <v>3</v>
      </c>
      <c r="F205" t="s">
        <v>80</v>
      </c>
      <c r="G205">
        <f>69</f>
        <v>69</v>
      </c>
      <c r="H205" s="33">
        <f>80*1.0552</f>
        <v>84.415999999999997</v>
      </c>
      <c r="I205">
        <f>70</f>
        <v>70</v>
      </c>
      <c r="J205" s="32">
        <f>Table1[[#This Row],[Target]]/Table1[[#This Row],[Price]]</f>
        <v>85.268686868686871</v>
      </c>
      <c r="K205">
        <v>0.99</v>
      </c>
    </row>
    <row r="206" spans="1:11" hidden="1">
      <c r="A206">
        <v>1</v>
      </c>
      <c r="B206" t="s">
        <v>23</v>
      </c>
      <c r="C206">
        <v>3</v>
      </c>
      <c r="D206" t="s">
        <v>53</v>
      </c>
      <c r="E206">
        <v>1</v>
      </c>
      <c r="F206" t="s">
        <v>111</v>
      </c>
      <c r="G206">
        <f>564</f>
        <v>564</v>
      </c>
      <c r="H206" s="33">
        <f>550*1.0861</f>
        <v>597.35500000000002</v>
      </c>
      <c r="I206">
        <f>87</f>
        <v>87</v>
      </c>
      <c r="J206" s="32">
        <f>Table1[[#This Row],[Target]]/Table1[[#This Row],[Price]]</f>
        <v>92.042372881355931</v>
      </c>
      <c r="K206">
        <v>6.49</v>
      </c>
    </row>
    <row r="207" spans="1:11" hidden="1">
      <c r="A207">
        <v>1</v>
      </c>
      <c r="B207" t="s">
        <v>23</v>
      </c>
      <c r="C207">
        <v>3</v>
      </c>
      <c r="D207" t="s">
        <v>53</v>
      </c>
      <c r="E207">
        <v>2</v>
      </c>
      <c r="F207" t="s">
        <v>112</v>
      </c>
      <c r="G207">
        <f>319</f>
        <v>319</v>
      </c>
      <c r="H207" s="33">
        <f>345*1.0861</f>
        <v>374.7045</v>
      </c>
      <c r="I207">
        <f>80</f>
        <v>80</v>
      </c>
      <c r="J207" s="32">
        <f>Table1[[#This Row],[Target]]/Table1[[#This Row],[Price]]</f>
        <v>93.910902255639087</v>
      </c>
      <c r="K207">
        <v>3.99</v>
      </c>
    </row>
    <row r="208" spans="1:11" hidden="1">
      <c r="A208">
        <v>1</v>
      </c>
      <c r="B208" t="s">
        <v>23</v>
      </c>
      <c r="C208">
        <v>3</v>
      </c>
      <c r="D208" t="s">
        <v>53</v>
      </c>
      <c r="E208">
        <v>3</v>
      </c>
      <c r="F208" t="s">
        <v>88</v>
      </c>
      <c r="G208">
        <f>356</f>
        <v>356</v>
      </c>
      <c r="H208" s="33">
        <f>375*1.0861-50</f>
        <v>357.28750000000002</v>
      </c>
      <c r="I208">
        <f>70</f>
        <v>70</v>
      </c>
      <c r="J208" s="32">
        <f>Table1[[#This Row],[Target]]/Table1[[#This Row],[Price]]</f>
        <v>70.194007858546172</v>
      </c>
      <c r="K208">
        <v>5.09</v>
      </c>
    </row>
    <row r="209" spans="1:11" hidden="1">
      <c r="A209">
        <v>1</v>
      </c>
      <c r="B209" t="s">
        <v>24</v>
      </c>
      <c r="C209">
        <v>1</v>
      </c>
      <c r="D209" t="s">
        <v>51</v>
      </c>
      <c r="E209">
        <v>1</v>
      </c>
      <c r="F209" t="s">
        <v>69</v>
      </c>
      <c r="G209">
        <f>322</f>
        <v>322</v>
      </c>
      <c r="H209" s="33">
        <f>300*1.0512</f>
        <v>315.35999999999996</v>
      </c>
      <c r="I209">
        <f>180</f>
        <v>180</v>
      </c>
      <c r="J209" s="32">
        <f>Table1[[#This Row],[Target]]/Table1[[#This Row],[Price]]</f>
        <v>176.17877094972064</v>
      </c>
      <c r="K209" s="14">
        <v>1.79</v>
      </c>
    </row>
    <row r="210" spans="1:11" hidden="1">
      <c r="A210">
        <v>1</v>
      </c>
      <c r="B210" t="s">
        <v>24</v>
      </c>
      <c r="C210">
        <v>1</v>
      </c>
      <c r="D210" t="s">
        <v>51</v>
      </c>
      <c r="E210">
        <v>2</v>
      </c>
      <c r="F210" t="s">
        <v>121</v>
      </c>
      <c r="G210">
        <f>399</f>
        <v>399</v>
      </c>
      <c r="H210" s="33">
        <f>380*1.0512</f>
        <v>399.45599999999996</v>
      </c>
      <c r="I210">
        <f>100</f>
        <v>100</v>
      </c>
      <c r="J210" s="32">
        <f>Table1[[#This Row],[Target]]/Table1[[#This Row],[Price]]</f>
        <v>100.1142857142857</v>
      </c>
      <c r="K210">
        <v>3.99</v>
      </c>
    </row>
    <row r="211" spans="1:11">
      <c r="A211">
        <v>1</v>
      </c>
      <c r="B211" t="s">
        <v>24</v>
      </c>
      <c r="C211">
        <v>1</v>
      </c>
      <c r="D211" t="s">
        <v>51</v>
      </c>
      <c r="E211">
        <v>3</v>
      </c>
      <c r="F211" t="s">
        <v>122</v>
      </c>
      <c r="G211">
        <f>143</f>
        <v>143</v>
      </c>
      <c r="H211" s="33">
        <f>170*1.0512</f>
        <v>178.70399999999998</v>
      </c>
      <c r="I211">
        <f>85</f>
        <v>85</v>
      </c>
      <c r="J211" s="32">
        <f>Table1[[#This Row],[Target]]/Table1[[#This Row],[Price]]</f>
        <v>105.74201183431951</v>
      </c>
      <c r="K211">
        <v>1.69</v>
      </c>
    </row>
    <row r="212" spans="1:11" hidden="1">
      <c r="A212">
        <v>1</v>
      </c>
      <c r="B212" t="s">
        <v>24</v>
      </c>
      <c r="C212">
        <v>2</v>
      </c>
      <c r="D212" t="s">
        <v>52</v>
      </c>
      <c r="E212">
        <v>1</v>
      </c>
      <c r="F212" t="s">
        <v>78</v>
      </c>
      <c r="G212">
        <f>539</f>
        <v>539</v>
      </c>
      <c r="H212" s="33">
        <f>525*1.0815</f>
        <v>567.78749999999991</v>
      </c>
      <c r="I212">
        <f>90</f>
        <v>90</v>
      </c>
      <c r="J212" s="32">
        <f>Table1[[#This Row],[Target]]/Table1[[#This Row],[Price]]</f>
        <v>94.789232053422353</v>
      </c>
      <c r="K212">
        <v>5.99</v>
      </c>
    </row>
    <row r="213" spans="1:11" hidden="1">
      <c r="A213">
        <v>1</v>
      </c>
      <c r="B213" t="s">
        <v>24</v>
      </c>
      <c r="C213">
        <v>2</v>
      </c>
      <c r="D213" t="s">
        <v>52</v>
      </c>
      <c r="E213">
        <v>2</v>
      </c>
      <c r="F213" t="s">
        <v>79</v>
      </c>
      <c r="G213">
        <f>169</f>
        <v>169</v>
      </c>
      <c r="H213" s="33">
        <f>180*1.0815-50</f>
        <v>144.66999999999999</v>
      </c>
      <c r="I213">
        <f>85</f>
        <v>85</v>
      </c>
      <c r="J213" s="32">
        <f>Table1[[#This Row],[Target]]/Table1[[#This Row],[Price]]</f>
        <v>72.698492462311549</v>
      </c>
      <c r="K213">
        <v>1.99</v>
      </c>
    </row>
    <row r="214" spans="1:11" hidden="1">
      <c r="A214">
        <v>1</v>
      </c>
      <c r="B214" t="s">
        <v>24</v>
      </c>
      <c r="C214">
        <v>2</v>
      </c>
      <c r="D214" t="s">
        <v>52</v>
      </c>
      <c r="E214">
        <v>3</v>
      </c>
      <c r="F214" t="s">
        <v>80</v>
      </c>
      <c r="G214">
        <f>69</f>
        <v>69</v>
      </c>
      <c r="H214" s="33">
        <f>80*1.0815</f>
        <v>86.52</v>
      </c>
      <c r="I214">
        <f>70</f>
        <v>70</v>
      </c>
      <c r="J214" s="32">
        <f>Table1[[#This Row],[Target]]/Table1[[#This Row],[Price]]</f>
        <v>87.393939393939391</v>
      </c>
      <c r="K214">
        <v>0.99</v>
      </c>
    </row>
    <row r="215" spans="1:11" hidden="1">
      <c r="A215">
        <v>1</v>
      </c>
      <c r="B215" t="s">
        <v>24</v>
      </c>
      <c r="C215">
        <v>3</v>
      </c>
      <c r="D215" t="s">
        <v>53</v>
      </c>
      <c r="E215">
        <v>1</v>
      </c>
      <c r="F215" t="s">
        <v>111</v>
      </c>
      <c r="G215">
        <f>564</f>
        <v>564</v>
      </c>
      <c r="H215" s="33">
        <f>550*1.0583</f>
        <v>582.06500000000005</v>
      </c>
      <c r="I215">
        <f>87</f>
        <v>87</v>
      </c>
      <c r="J215" s="32">
        <f>Table1[[#This Row],[Target]]/Table1[[#This Row],[Price]]</f>
        <v>89.686440677966104</v>
      </c>
      <c r="K215">
        <v>6.49</v>
      </c>
    </row>
    <row r="216" spans="1:11" hidden="1">
      <c r="A216">
        <v>1</v>
      </c>
      <c r="B216" t="s">
        <v>24</v>
      </c>
      <c r="C216">
        <v>3</v>
      </c>
      <c r="D216" t="s">
        <v>53</v>
      </c>
      <c r="E216">
        <v>2</v>
      </c>
      <c r="F216" t="s">
        <v>112</v>
      </c>
      <c r="G216">
        <f>319</f>
        <v>319</v>
      </c>
      <c r="H216" s="33">
        <f>345*1.0583-50</f>
        <v>315.11349999999999</v>
      </c>
      <c r="I216">
        <f>80</f>
        <v>80</v>
      </c>
      <c r="J216" s="32">
        <f>Table1[[#This Row],[Target]]/Table1[[#This Row],[Price]]</f>
        <v>78.975814536340849</v>
      </c>
      <c r="K216">
        <v>3.99</v>
      </c>
    </row>
    <row r="217" spans="1:11" hidden="1">
      <c r="A217">
        <v>1</v>
      </c>
      <c r="B217" t="s">
        <v>24</v>
      </c>
      <c r="C217">
        <v>3</v>
      </c>
      <c r="D217" t="s">
        <v>53</v>
      </c>
      <c r="E217">
        <v>3</v>
      </c>
      <c r="F217" t="s">
        <v>88</v>
      </c>
      <c r="G217">
        <f>356</f>
        <v>356</v>
      </c>
      <c r="H217" s="33">
        <f>375*1.0583-50</f>
        <v>346.86250000000001</v>
      </c>
      <c r="I217">
        <f>70</f>
        <v>70</v>
      </c>
      <c r="J217" s="32">
        <f>Table1[[#This Row],[Target]]/Table1[[#This Row],[Price]]</f>
        <v>68.145874263261305</v>
      </c>
      <c r="K217">
        <v>5.09</v>
      </c>
    </row>
    <row r="218" spans="1:11" hidden="1">
      <c r="A218">
        <v>1</v>
      </c>
      <c r="B218" t="s">
        <v>25</v>
      </c>
      <c r="C218">
        <v>1</v>
      </c>
      <c r="D218" t="s">
        <v>51</v>
      </c>
      <c r="E218">
        <v>1</v>
      </c>
      <c r="F218" t="s">
        <v>69</v>
      </c>
      <c r="G218">
        <f>322</f>
        <v>322</v>
      </c>
      <c r="H218" s="33">
        <f>300*1.0164</f>
        <v>304.92</v>
      </c>
      <c r="I218">
        <f>180</f>
        <v>180</v>
      </c>
      <c r="J218" s="32">
        <f>Table1[[#This Row],[Target]]/Table1[[#This Row],[Price]]</f>
        <v>170.3463687150838</v>
      </c>
      <c r="K218" s="14">
        <v>1.79</v>
      </c>
    </row>
    <row r="219" spans="1:11" hidden="1">
      <c r="A219">
        <v>1</v>
      </c>
      <c r="B219" t="s">
        <v>25</v>
      </c>
      <c r="C219">
        <v>1</v>
      </c>
      <c r="D219" t="s">
        <v>51</v>
      </c>
      <c r="E219">
        <v>2</v>
      </c>
      <c r="F219" t="s">
        <v>121</v>
      </c>
      <c r="G219">
        <f>399</f>
        <v>399</v>
      </c>
      <c r="H219" s="33">
        <f>380*1.0164</f>
        <v>386.23199999999997</v>
      </c>
      <c r="I219">
        <f>100</f>
        <v>100</v>
      </c>
      <c r="J219" s="32">
        <f>Table1[[#This Row],[Target]]/Table1[[#This Row],[Price]]</f>
        <v>96.799999999999983</v>
      </c>
      <c r="K219">
        <v>3.99</v>
      </c>
    </row>
    <row r="220" spans="1:11">
      <c r="A220">
        <v>1</v>
      </c>
      <c r="B220" t="s">
        <v>25</v>
      </c>
      <c r="C220">
        <v>1</v>
      </c>
      <c r="D220" t="s">
        <v>51</v>
      </c>
      <c r="E220">
        <v>3</v>
      </c>
      <c r="F220" t="s">
        <v>122</v>
      </c>
      <c r="G220">
        <f>143</f>
        <v>143</v>
      </c>
      <c r="H220" s="33">
        <f>170*1.0164</f>
        <v>172.78799999999998</v>
      </c>
      <c r="I220">
        <f>85</f>
        <v>85</v>
      </c>
      <c r="J220" s="32">
        <f>Table1[[#This Row],[Target]]/Table1[[#This Row],[Price]]</f>
        <v>102.24142011834319</v>
      </c>
      <c r="K220">
        <v>1.69</v>
      </c>
    </row>
    <row r="221" spans="1:11" hidden="1">
      <c r="A221">
        <v>1</v>
      </c>
      <c r="B221" t="s">
        <v>25</v>
      </c>
      <c r="C221">
        <v>2</v>
      </c>
      <c r="D221" t="s">
        <v>52</v>
      </c>
      <c r="E221">
        <v>1</v>
      </c>
      <c r="F221" t="s">
        <v>78</v>
      </c>
      <c r="G221">
        <f>539</f>
        <v>539</v>
      </c>
      <c r="H221" s="33">
        <f>525*1.085</f>
        <v>569.625</v>
      </c>
      <c r="I221">
        <f>90</f>
        <v>90</v>
      </c>
      <c r="J221" s="32">
        <f>Table1[[#This Row],[Target]]/Table1[[#This Row],[Price]]</f>
        <v>95.095993322203668</v>
      </c>
      <c r="K221">
        <v>5.99</v>
      </c>
    </row>
    <row r="222" spans="1:11" hidden="1">
      <c r="A222">
        <v>1</v>
      </c>
      <c r="B222" t="s">
        <v>25</v>
      </c>
      <c r="C222">
        <v>2</v>
      </c>
      <c r="D222" t="s">
        <v>52</v>
      </c>
      <c r="E222">
        <v>2</v>
      </c>
      <c r="F222" t="s">
        <v>79</v>
      </c>
      <c r="G222">
        <f>169</f>
        <v>169</v>
      </c>
      <c r="H222" s="33">
        <f>180*1.085-50</f>
        <v>145.29999999999998</v>
      </c>
      <c r="I222">
        <f>85</f>
        <v>85</v>
      </c>
      <c r="J222" s="32">
        <f>Table1[[#This Row],[Target]]/Table1[[#This Row],[Price]]</f>
        <v>73.015075376884411</v>
      </c>
      <c r="K222">
        <v>1.99</v>
      </c>
    </row>
    <row r="223" spans="1:11" hidden="1">
      <c r="A223">
        <v>1</v>
      </c>
      <c r="B223" t="s">
        <v>25</v>
      </c>
      <c r="C223">
        <v>2</v>
      </c>
      <c r="D223" t="s">
        <v>52</v>
      </c>
      <c r="E223">
        <v>3</v>
      </c>
      <c r="F223" t="s">
        <v>80</v>
      </c>
      <c r="G223">
        <f>69</f>
        <v>69</v>
      </c>
      <c r="H223" s="33">
        <f>80*1.085</f>
        <v>86.8</v>
      </c>
      <c r="I223">
        <f>70</f>
        <v>70</v>
      </c>
      <c r="J223" s="32">
        <f>Table1[[#This Row],[Target]]/Table1[[#This Row],[Price]]</f>
        <v>87.676767676767668</v>
      </c>
      <c r="K223">
        <v>0.99</v>
      </c>
    </row>
    <row r="224" spans="1:11" hidden="1">
      <c r="A224">
        <v>1</v>
      </c>
      <c r="B224" t="s">
        <v>25</v>
      </c>
      <c r="C224">
        <v>3</v>
      </c>
      <c r="D224" t="s">
        <v>53</v>
      </c>
      <c r="E224">
        <v>1</v>
      </c>
      <c r="F224" t="s">
        <v>111</v>
      </c>
      <c r="G224">
        <f>564</f>
        <v>564</v>
      </c>
      <c r="H224" s="33">
        <f>550*1.0854</f>
        <v>596.96999999999991</v>
      </c>
      <c r="I224">
        <f>87</f>
        <v>87</v>
      </c>
      <c r="J224" s="32">
        <f>Table1[[#This Row],[Target]]/Table1[[#This Row],[Price]]</f>
        <v>91.983050847457605</v>
      </c>
      <c r="K224">
        <v>6.49</v>
      </c>
    </row>
    <row r="225" spans="1:11" hidden="1">
      <c r="A225">
        <v>1</v>
      </c>
      <c r="B225" t="s">
        <v>25</v>
      </c>
      <c r="C225">
        <v>3</v>
      </c>
      <c r="D225" t="s">
        <v>53</v>
      </c>
      <c r="E225">
        <v>2</v>
      </c>
      <c r="F225" t="s">
        <v>112</v>
      </c>
      <c r="G225">
        <f>319</f>
        <v>319</v>
      </c>
      <c r="H225" s="33">
        <f>345*1.0854-50-50</f>
        <v>274.46299999999997</v>
      </c>
      <c r="I225">
        <f>80</f>
        <v>80</v>
      </c>
      <c r="J225" s="32">
        <f>Table1[[#This Row],[Target]]/Table1[[#This Row],[Price]]</f>
        <v>68.787719298245605</v>
      </c>
      <c r="K225">
        <v>3.99</v>
      </c>
    </row>
    <row r="226" spans="1:11" hidden="1">
      <c r="A226">
        <v>1</v>
      </c>
      <c r="B226" t="s">
        <v>25</v>
      </c>
      <c r="C226">
        <v>3</v>
      </c>
      <c r="D226" t="s">
        <v>53</v>
      </c>
      <c r="E226">
        <v>3</v>
      </c>
      <c r="F226" t="s">
        <v>88</v>
      </c>
      <c r="G226">
        <f>356</f>
        <v>356</v>
      </c>
      <c r="H226" s="33">
        <f>375*1.0854</f>
        <v>407.02499999999998</v>
      </c>
      <c r="I226">
        <f>70</f>
        <v>70</v>
      </c>
      <c r="J226" s="32">
        <f>Table1[[#This Row],[Target]]/Table1[[#This Row],[Price]]</f>
        <v>79.965618860510801</v>
      </c>
      <c r="K226">
        <v>5.09</v>
      </c>
    </row>
    <row r="227" spans="1:11" hidden="1">
      <c r="A227">
        <v>1</v>
      </c>
      <c r="B227" t="s">
        <v>26</v>
      </c>
      <c r="C227">
        <v>1</v>
      </c>
      <c r="D227" t="s">
        <v>51</v>
      </c>
      <c r="E227">
        <v>1</v>
      </c>
      <c r="F227" t="s">
        <v>69</v>
      </c>
      <c r="G227">
        <f>322</f>
        <v>322</v>
      </c>
      <c r="H227" s="33">
        <f>300*0.874</f>
        <v>262.2</v>
      </c>
      <c r="I227">
        <f>180</f>
        <v>180</v>
      </c>
      <c r="J227" s="32">
        <f>Table1[[#This Row],[Target]]/Table1[[#This Row],[Price]]</f>
        <v>146.48044692737429</v>
      </c>
      <c r="K227" s="14">
        <v>1.79</v>
      </c>
    </row>
    <row r="228" spans="1:11" hidden="1">
      <c r="A228">
        <v>1</v>
      </c>
      <c r="B228" t="s">
        <v>26</v>
      </c>
      <c r="C228">
        <v>1</v>
      </c>
      <c r="D228" t="s">
        <v>51</v>
      </c>
      <c r="E228">
        <v>2</v>
      </c>
      <c r="F228" t="s">
        <v>121</v>
      </c>
      <c r="G228">
        <f>399</f>
        <v>399</v>
      </c>
      <c r="H228" s="33">
        <f>380*0.874</f>
        <v>332.12</v>
      </c>
      <c r="I228">
        <f>100</f>
        <v>100</v>
      </c>
      <c r="J228" s="32">
        <f>Table1[[#This Row],[Target]]/Table1[[#This Row],[Price]]</f>
        <v>83.238095238095241</v>
      </c>
      <c r="K228">
        <v>3.99</v>
      </c>
    </row>
    <row r="229" spans="1:11">
      <c r="A229">
        <v>1</v>
      </c>
      <c r="B229" t="s">
        <v>26</v>
      </c>
      <c r="C229">
        <v>1</v>
      </c>
      <c r="D229" t="s">
        <v>51</v>
      </c>
      <c r="E229">
        <v>3</v>
      </c>
      <c r="F229" t="s">
        <v>122</v>
      </c>
      <c r="G229">
        <f>143</f>
        <v>143</v>
      </c>
      <c r="H229" s="33">
        <f>170*0.874</f>
        <v>148.58000000000001</v>
      </c>
      <c r="I229">
        <f>85</f>
        <v>85</v>
      </c>
      <c r="J229" s="32">
        <f>Table1[[#This Row],[Target]]/Table1[[#This Row],[Price]]</f>
        <v>87.91715976331362</v>
      </c>
      <c r="K229">
        <v>1.69</v>
      </c>
    </row>
    <row r="230" spans="1:11" hidden="1">
      <c r="A230">
        <v>1</v>
      </c>
      <c r="B230" t="s">
        <v>26</v>
      </c>
      <c r="C230">
        <v>2</v>
      </c>
      <c r="D230" t="s">
        <v>52</v>
      </c>
      <c r="E230">
        <v>1</v>
      </c>
      <c r="F230" t="s">
        <v>78</v>
      </c>
      <c r="G230">
        <f>539</f>
        <v>539</v>
      </c>
      <c r="H230" s="33">
        <f>525*1.122</f>
        <v>589.05000000000007</v>
      </c>
      <c r="I230">
        <f>90</f>
        <v>90</v>
      </c>
      <c r="J230" s="32">
        <f>Table1[[#This Row],[Target]]/Table1[[#This Row],[Price]]</f>
        <v>98.338898163606018</v>
      </c>
      <c r="K230">
        <v>5.99</v>
      </c>
    </row>
    <row r="231" spans="1:11" hidden="1">
      <c r="A231">
        <v>1</v>
      </c>
      <c r="B231" t="s">
        <v>26</v>
      </c>
      <c r="C231">
        <v>2</v>
      </c>
      <c r="D231" t="s">
        <v>52</v>
      </c>
      <c r="E231">
        <v>2</v>
      </c>
      <c r="F231" t="s">
        <v>79</v>
      </c>
      <c r="G231">
        <f>169</f>
        <v>169</v>
      </c>
      <c r="H231" s="33">
        <f>180*1.122</f>
        <v>201.96</v>
      </c>
      <c r="I231">
        <f>85</f>
        <v>85</v>
      </c>
      <c r="J231" s="32">
        <f>Table1[[#This Row],[Target]]/Table1[[#This Row],[Price]]</f>
        <v>101.48743718592965</v>
      </c>
      <c r="K231">
        <v>1.99</v>
      </c>
    </row>
    <row r="232" spans="1:11" hidden="1">
      <c r="A232">
        <v>1</v>
      </c>
      <c r="B232" t="s">
        <v>26</v>
      </c>
      <c r="C232">
        <v>2</v>
      </c>
      <c r="D232" t="s">
        <v>52</v>
      </c>
      <c r="E232">
        <v>3</v>
      </c>
      <c r="F232" t="s">
        <v>80</v>
      </c>
      <c r="G232">
        <f>69</f>
        <v>69</v>
      </c>
      <c r="H232" s="33">
        <f>80*1.122</f>
        <v>89.76</v>
      </c>
      <c r="I232">
        <f>70</f>
        <v>70</v>
      </c>
      <c r="J232" s="32">
        <f>Table1[[#This Row],[Target]]/Table1[[#This Row],[Price]]</f>
        <v>90.666666666666671</v>
      </c>
      <c r="K232">
        <v>0.99</v>
      </c>
    </row>
    <row r="233" spans="1:11" hidden="1">
      <c r="A233">
        <v>1</v>
      </c>
      <c r="B233" t="s">
        <v>26</v>
      </c>
      <c r="C233">
        <v>3</v>
      </c>
      <c r="D233" t="s">
        <v>53</v>
      </c>
      <c r="E233">
        <v>1</v>
      </c>
      <c r="F233" t="s">
        <v>111</v>
      </c>
      <c r="G233">
        <f>564</f>
        <v>564</v>
      </c>
      <c r="H233" s="33">
        <f>550*1.145-50-50</f>
        <v>529.75</v>
      </c>
      <c r="I233">
        <f>87</f>
        <v>87</v>
      </c>
      <c r="J233" s="32">
        <f>Table1[[#This Row],[Target]]/Table1[[#This Row],[Price]]</f>
        <v>81.625577812018491</v>
      </c>
      <c r="K233">
        <v>6.49</v>
      </c>
    </row>
    <row r="234" spans="1:11" hidden="1">
      <c r="A234">
        <v>1</v>
      </c>
      <c r="B234" t="s">
        <v>26</v>
      </c>
      <c r="C234">
        <v>3</v>
      </c>
      <c r="D234" t="s">
        <v>53</v>
      </c>
      <c r="E234">
        <v>2</v>
      </c>
      <c r="F234" t="s">
        <v>112</v>
      </c>
      <c r="G234">
        <f>319</f>
        <v>319</v>
      </c>
      <c r="H234" s="33">
        <f>345*1.145</f>
        <v>395.02500000000003</v>
      </c>
      <c r="I234">
        <f>80</f>
        <v>80</v>
      </c>
      <c r="J234" s="32">
        <f>Table1[[#This Row],[Target]]/Table1[[#This Row],[Price]]</f>
        <v>99.003759398496243</v>
      </c>
      <c r="K234">
        <v>3.99</v>
      </c>
    </row>
    <row r="235" spans="1:11" hidden="1">
      <c r="A235">
        <v>1</v>
      </c>
      <c r="B235" t="s">
        <v>26</v>
      </c>
      <c r="C235">
        <v>3</v>
      </c>
      <c r="D235" t="s">
        <v>53</v>
      </c>
      <c r="E235">
        <v>3</v>
      </c>
      <c r="F235" t="s">
        <v>88</v>
      </c>
      <c r="G235">
        <f>356</f>
        <v>356</v>
      </c>
      <c r="H235" s="33">
        <f>375*1.145-50</f>
        <v>379.375</v>
      </c>
      <c r="I235">
        <f>70</f>
        <v>70</v>
      </c>
      <c r="J235" s="32">
        <f>Table1[[#This Row],[Target]]/Table1[[#This Row],[Price]]</f>
        <v>74.533398821218071</v>
      </c>
      <c r="K235">
        <v>5.09</v>
      </c>
    </row>
    <row r="236" spans="1:11" hidden="1">
      <c r="A236">
        <v>1</v>
      </c>
      <c r="B236" t="s">
        <v>27</v>
      </c>
      <c r="C236">
        <v>1</v>
      </c>
      <c r="D236" t="s">
        <v>51</v>
      </c>
      <c r="E236">
        <v>1</v>
      </c>
      <c r="F236" t="s">
        <v>69</v>
      </c>
      <c r="G236">
        <f>322</f>
        <v>322</v>
      </c>
      <c r="H236" s="33">
        <f>300*1.0281</f>
        <v>308.43</v>
      </c>
      <c r="I236">
        <f>180</f>
        <v>180</v>
      </c>
      <c r="J236" s="32">
        <f>Table1[[#This Row],[Target]]/Table1[[#This Row],[Price]]</f>
        <v>172.3072625698324</v>
      </c>
      <c r="K236" s="14">
        <v>1.79</v>
      </c>
    </row>
    <row r="237" spans="1:11" hidden="1">
      <c r="A237">
        <v>1</v>
      </c>
      <c r="B237" t="s">
        <v>27</v>
      </c>
      <c r="C237">
        <v>1</v>
      </c>
      <c r="D237" t="s">
        <v>51</v>
      </c>
      <c r="E237">
        <v>2</v>
      </c>
      <c r="F237" t="s">
        <v>121</v>
      </c>
      <c r="G237">
        <f>399</f>
        <v>399</v>
      </c>
      <c r="H237" s="33">
        <f>380*1.0281</f>
        <v>390.678</v>
      </c>
      <c r="I237">
        <f>100</f>
        <v>100</v>
      </c>
      <c r="J237" s="32">
        <f>Table1[[#This Row],[Target]]/Table1[[#This Row],[Price]]</f>
        <v>97.914285714285711</v>
      </c>
      <c r="K237">
        <v>3.99</v>
      </c>
    </row>
    <row r="238" spans="1:11">
      <c r="A238">
        <v>1</v>
      </c>
      <c r="B238" t="s">
        <v>27</v>
      </c>
      <c r="C238">
        <v>1</v>
      </c>
      <c r="D238" t="s">
        <v>51</v>
      </c>
      <c r="E238">
        <v>3</v>
      </c>
      <c r="F238" t="s">
        <v>122</v>
      </c>
      <c r="G238">
        <f>143</f>
        <v>143</v>
      </c>
      <c r="H238" s="33">
        <f>170*1.0281-50</f>
        <v>124.77700000000002</v>
      </c>
      <c r="I238">
        <f>85</f>
        <v>85</v>
      </c>
      <c r="J238" s="32">
        <f>Table1[[#This Row],[Target]]/Table1[[#This Row],[Price]]</f>
        <v>73.832544378698231</v>
      </c>
      <c r="K238">
        <v>1.69</v>
      </c>
    </row>
    <row r="239" spans="1:11" hidden="1">
      <c r="A239">
        <v>1</v>
      </c>
      <c r="B239" t="s">
        <v>27</v>
      </c>
      <c r="C239">
        <v>2</v>
      </c>
      <c r="D239" t="s">
        <v>52</v>
      </c>
      <c r="E239">
        <v>1</v>
      </c>
      <c r="F239" t="s">
        <v>78</v>
      </c>
      <c r="G239">
        <f>539</f>
        <v>539</v>
      </c>
      <c r="H239" s="33">
        <f>525*1.0263</f>
        <v>538.8075</v>
      </c>
      <c r="I239">
        <f>90</f>
        <v>90</v>
      </c>
      <c r="J239" s="32">
        <f>Table1[[#This Row],[Target]]/Table1[[#This Row],[Price]]</f>
        <v>89.951168614357258</v>
      </c>
      <c r="K239">
        <v>5.99</v>
      </c>
    </row>
    <row r="240" spans="1:11" hidden="1">
      <c r="A240">
        <v>1</v>
      </c>
      <c r="B240" t="s">
        <v>27</v>
      </c>
      <c r="C240">
        <v>2</v>
      </c>
      <c r="D240" t="s">
        <v>52</v>
      </c>
      <c r="E240">
        <v>2</v>
      </c>
      <c r="F240" t="s">
        <v>79</v>
      </c>
      <c r="G240">
        <f>169</f>
        <v>169</v>
      </c>
      <c r="H240" s="33">
        <f>180*1.0263</f>
        <v>184.73400000000001</v>
      </c>
      <c r="I240">
        <f>85</f>
        <v>85</v>
      </c>
      <c r="J240" s="32">
        <f>Table1[[#This Row],[Target]]/Table1[[#This Row],[Price]]</f>
        <v>92.831155778894484</v>
      </c>
      <c r="K240">
        <v>1.99</v>
      </c>
    </row>
    <row r="241" spans="1:11" hidden="1">
      <c r="A241">
        <v>1</v>
      </c>
      <c r="B241" t="s">
        <v>27</v>
      </c>
      <c r="C241">
        <v>2</v>
      </c>
      <c r="D241" t="s">
        <v>52</v>
      </c>
      <c r="E241">
        <v>3</v>
      </c>
      <c r="F241" t="s">
        <v>80</v>
      </c>
      <c r="G241">
        <f>69</f>
        <v>69</v>
      </c>
      <c r="H241" s="33">
        <f>80*1.0263</f>
        <v>82.103999999999999</v>
      </c>
      <c r="I241">
        <f>70</f>
        <v>70</v>
      </c>
      <c r="J241" s="32">
        <f>Table1[[#This Row],[Target]]/Table1[[#This Row],[Price]]</f>
        <v>82.933333333333337</v>
      </c>
      <c r="K241">
        <v>0.99</v>
      </c>
    </row>
    <row r="242" spans="1:11" hidden="1">
      <c r="A242">
        <v>1</v>
      </c>
      <c r="B242" t="s">
        <v>27</v>
      </c>
      <c r="C242">
        <v>3</v>
      </c>
      <c r="D242" t="s">
        <v>53</v>
      </c>
      <c r="E242">
        <v>1</v>
      </c>
      <c r="F242" t="s">
        <v>111</v>
      </c>
      <c r="G242">
        <f>564</f>
        <v>564</v>
      </c>
      <c r="H242" s="33">
        <f>550*0.458+150</f>
        <v>401.9</v>
      </c>
      <c r="I242">
        <f>87</f>
        <v>87</v>
      </c>
      <c r="J242" s="32">
        <f>Table1[[#This Row],[Target]]/Table1[[#This Row],[Price]]</f>
        <v>61.926040061633273</v>
      </c>
      <c r="K242">
        <v>6.49</v>
      </c>
    </row>
    <row r="243" spans="1:11" hidden="1">
      <c r="A243">
        <v>1</v>
      </c>
      <c r="B243" t="s">
        <v>27</v>
      </c>
      <c r="C243">
        <v>3</v>
      </c>
      <c r="D243" t="s">
        <v>53</v>
      </c>
      <c r="E243">
        <v>2</v>
      </c>
      <c r="F243" t="s">
        <v>112</v>
      </c>
      <c r="G243">
        <f>319</f>
        <v>319</v>
      </c>
      <c r="H243" s="33">
        <f>345*0.458+78</f>
        <v>236.01000000000002</v>
      </c>
      <c r="I243">
        <f>80</f>
        <v>80</v>
      </c>
      <c r="J243" s="32">
        <f>Table1[[#This Row],[Target]]/Table1[[#This Row],[Price]]</f>
        <v>59.150375939849624</v>
      </c>
      <c r="K243">
        <v>3.99</v>
      </c>
    </row>
    <row r="244" spans="1:11" hidden="1">
      <c r="A244">
        <v>1</v>
      </c>
      <c r="B244" t="s">
        <v>27</v>
      </c>
      <c r="C244">
        <v>3</v>
      </c>
      <c r="D244" t="s">
        <v>53</v>
      </c>
      <c r="E244">
        <v>3</v>
      </c>
      <c r="F244" t="s">
        <v>88</v>
      </c>
      <c r="G244">
        <f>356</f>
        <v>356</v>
      </c>
      <c r="H244" s="33">
        <f>375*0.458+79</f>
        <v>250.75</v>
      </c>
      <c r="I244">
        <f>70</f>
        <v>70</v>
      </c>
      <c r="J244" s="32">
        <f>Table1[[#This Row],[Target]]/Table1[[#This Row],[Price]]</f>
        <v>49.263261296660119</v>
      </c>
      <c r="K244">
        <v>5.09</v>
      </c>
    </row>
    <row r="245" spans="1:11" hidden="1">
      <c r="A245">
        <v>1</v>
      </c>
      <c r="B245" t="s">
        <v>28</v>
      </c>
      <c r="C245">
        <v>1</v>
      </c>
      <c r="D245" t="s">
        <v>51</v>
      </c>
      <c r="E245">
        <v>1</v>
      </c>
      <c r="F245" t="s">
        <v>69</v>
      </c>
      <c r="G245">
        <f>322</f>
        <v>322</v>
      </c>
      <c r="H245" s="33">
        <f>300*1.049</f>
        <v>314.7</v>
      </c>
      <c r="I245">
        <f>180</f>
        <v>180</v>
      </c>
      <c r="J245" s="32">
        <f>Table1[[#This Row],[Target]]/Table1[[#This Row],[Price]]</f>
        <v>175.81005586592178</v>
      </c>
      <c r="K245" s="14">
        <v>1.79</v>
      </c>
    </row>
    <row r="246" spans="1:11" hidden="1">
      <c r="A246">
        <v>1</v>
      </c>
      <c r="B246" t="s">
        <v>28</v>
      </c>
      <c r="C246">
        <v>1</v>
      </c>
      <c r="D246" t="s">
        <v>51</v>
      </c>
      <c r="E246">
        <v>2</v>
      </c>
      <c r="F246" t="s">
        <v>121</v>
      </c>
      <c r="G246">
        <f>399</f>
        <v>399</v>
      </c>
      <c r="H246" s="33">
        <f>380*1.049</f>
        <v>398.61999999999995</v>
      </c>
      <c r="I246">
        <f>100</f>
        <v>100</v>
      </c>
      <c r="J246" s="32">
        <f>Table1[[#This Row],[Target]]/Table1[[#This Row],[Price]]</f>
        <v>99.904761904761884</v>
      </c>
      <c r="K246">
        <v>3.99</v>
      </c>
    </row>
    <row r="247" spans="1:11">
      <c r="A247">
        <v>1</v>
      </c>
      <c r="B247" t="s">
        <v>28</v>
      </c>
      <c r="C247">
        <v>1</v>
      </c>
      <c r="D247" t="s">
        <v>51</v>
      </c>
      <c r="E247">
        <v>3</v>
      </c>
      <c r="F247" t="s">
        <v>122</v>
      </c>
      <c r="G247">
        <f>143</f>
        <v>143</v>
      </c>
      <c r="H247" s="33">
        <f>170*1.049</f>
        <v>178.32999999999998</v>
      </c>
      <c r="I247">
        <f>85</f>
        <v>85</v>
      </c>
      <c r="J247" s="32">
        <f>Table1[[#This Row],[Target]]/Table1[[#This Row],[Price]]</f>
        <v>105.52071005917159</v>
      </c>
      <c r="K247">
        <v>1.69</v>
      </c>
    </row>
    <row r="248" spans="1:11" hidden="1">
      <c r="A248">
        <v>1</v>
      </c>
      <c r="B248" t="s">
        <v>28</v>
      </c>
      <c r="C248">
        <v>2</v>
      </c>
      <c r="D248" t="s">
        <v>52</v>
      </c>
      <c r="E248">
        <v>1</v>
      </c>
      <c r="F248" t="s">
        <v>78</v>
      </c>
      <c r="G248">
        <f>539</f>
        <v>539</v>
      </c>
      <c r="H248" s="33">
        <f>525*1.0377</f>
        <v>544.79250000000002</v>
      </c>
      <c r="I248">
        <f>90</f>
        <v>90</v>
      </c>
      <c r="J248" s="32">
        <f>Table1[[#This Row],[Target]]/Table1[[#This Row],[Price]]</f>
        <v>90.950333889816363</v>
      </c>
      <c r="K248">
        <v>5.99</v>
      </c>
    </row>
    <row r="249" spans="1:11" hidden="1">
      <c r="A249">
        <v>1</v>
      </c>
      <c r="B249" t="s">
        <v>28</v>
      </c>
      <c r="C249">
        <v>2</v>
      </c>
      <c r="D249" t="s">
        <v>52</v>
      </c>
      <c r="E249">
        <v>2</v>
      </c>
      <c r="F249" t="s">
        <v>79</v>
      </c>
      <c r="G249">
        <f>169</f>
        <v>169</v>
      </c>
      <c r="H249" s="33">
        <f>180*1.0377-50</f>
        <v>136.786</v>
      </c>
      <c r="I249">
        <f>85</f>
        <v>85</v>
      </c>
      <c r="J249" s="32">
        <f>Table1[[#This Row],[Target]]/Table1[[#This Row],[Price]]</f>
        <v>68.73668341708543</v>
      </c>
      <c r="K249">
        <v>1.99</v>
      </c>
    </row>
    <row r="250" spans="1:11" hidden="1">
      <c r="A250">
        <v>1</v>
      </c>
      <c r="B250" t="s">
        <v>28</v>
      </c>
      <c r="C250">
        <v>2</v>
      </c>
      <c r="D250" t="s">
        <v>52</v>
      </c>
      <c r="E250">
        <v>3</v>
      </c>
      <c r="F250" t="s">
        <v>80</v>
      </c>
      <c r="G250">
        <f>69</f>
        <v>69</v>
      </c>
      <c r="H250" s="33">
        <f>80*1.0377</f>
        <v>83.016000000000005</v>
      </c>
      <c r="I250">
        <f>70</f>
        <v>70</v>
      </c>
      <c r="J250" s="32">
        <f>Table1[[#This Row],[Target]]/Table1[[#This Row],[Price]]</f>
        <v>83.854545454545459</v>
      </c>
      <c r="K250">
        <v>0.99</v>
      </c>
    </row>
    <row r="251" spans="1:11" hidden="1">
      <c r="A251">
        <v>1</v>
      </c>
      <c r="B251" t="s">
        <v>28</v>
      </c>
      <c r="C251">
        <v>3</v>
      </c>
      <c r="D251" t="s">
        <v>53</v>
      </c>
      <c r="E251">
        <v>1</v>
      </c>
      <c r="F251" t="s">
        <v>111</v>
      </c>
      <c r="G251">
        <f>564</f>
        <v>564</v>
      </c>
      <c r="H251" s="33">
        <f>550*1.0472-50</f>
        <v>525.95999999999992</v>
      </c>
      <c r="I251">
        <f>87</f>
        <v>87</v>
      </c>
      <c r="J251" s="32">
        <f>Table1[[#This Row],[Target]]/Table1[[#This Row],[Price]]</f>
        <v>81.041602465331266</v>
      </c>
      <c r="K251">
        <v>6.49</v>
      </c>
    </row>
    <row r="252" spans="1:11" hidden="1">
      <c r="A252">
        <v>1</v>
      </c>
      <c r="B252" t="s">
        <v>28</v>
      </c>
      <c r="C252">
        <v>3</v>
      </c>
      <c r="D252" t="s">
        <v>53</v>
      </c>
      <c r="E252">
        <v>2</v>
      </c>
      <c r="F252" t="s">
        <v>112</v>
      </c>
      <c r="G252">
        <f>319</f>
        <v>319</v>
      </c>
      <c r="H252" s="33">
        <f>345*1.0472</f>
        <v>361.28399999999999</v>
      </c>
      <c r="I252">
        <f>80</f>
        <v>80</v>
      </c>
      <c r="J252" s="32">
        <f>Table1[[#This Row],[Target]]/Table1[[#This Row],[Price]]</f>
        <v>90.547368421052624</v>
      </c>
      <c r="K252">
        <v>3.99</v>
      </c>
    </row>
    <row r="253" spans="1:11" hidden="1">
      <c r="A253">
        <v>1</v>
      </c>
      <c r="B253" t="s">
        <v>28</v>
      </c>
      <c r="C253">
        <v>3</v>
      </c>
      <c r="D253" t="s">
        <v>53</v>
      </c>
      <c r="E253">
        <v>3</v>
      </c>
      <c r="F253" t="s">
        <v>88</v>
      </c>
      <c r="G253">
        <f>356</f>
        <v>356</v>
      </c>
      <c r="H253" s="33">
        <f>375*1.0472</f>
        <v>392.7</v>
      </c>
      <c r="I253">
        <f>70</f>
        <v>70</v>
      </c>
      <c r="J253" s="32">
        <f>Table1[[#This Row],[Target]]/Table1[[#This Row],[Price]]</f>
        <v>77.151277013752463</v>
      </c>
      <c r="K253">
        <v>5.09</v>
      </c>
    </row>
    <row r="254" spans="1:11" hidden="1">
      <c r="A254">
        <v>1</v>
      </c>
      <c r="B254" t="s">
        <v>29</v>
      </c>
      <c r="C254">
        <v>1</v>
      </c>
      <c r="D254" t="s">
        <v>51</v>
      </c>
      <c r="E254">
        <v>1</v>
      </c>
      <c r="F254" t="s">
        <v>69</v>
      </c>
      <c r="G254">
        <f>322</f>
        <v>322</v>
      </c>
      <c r="H254" s="33">
        <f>300*1.0218</f>
        <v>306.54000000000002</v>
      </c>
      <c r="I254">
        <f>180</f>
        <v>180</v>
      </c>
      <c r="J254" s="32">
        <f>Table1[[#This Row],[Target]]/Table1[[#This Row],[Price]]</f>
        <v>171.2513966480447</v>
      </c>
      <c r="K254" s="14">
        <v>1.79</v>
      </c>
    </row>
    <row r="255" spans="1:11" hidden="1">
      <c r="A255">
        <v>1</v>
      </c>
      <c r="B255" t="s">
        <v>29</v>
      </c>
      <c r="C255">
        <v>1</v>
      </c>
      <c r="D255" t="s">
        <v>51</v>
      </c>
      <c r="E255">
        <v>2</v>
      </c>
      <c r="F255" t="s">
        <v>121</v>
      </c>
      <c r="G255">
        <f>399</f>
        <v>399</v>
      </c>
      <c r="H255" s="33">
        <f>380*1.0218</f>
        <v>388.28399999999999</v>
      </c>
      <c r="I255">
        <f>100</f>
        <v>100</v>
      </c>
      <c r="J255" s="32">
        <f>Table1[[#This Row],[Target]]/Table1[[#This Row],[Price]]</f>
        <v>97.314285714285703</v>
      </c>
      <c r="K255">
        <v>3.99</v>
      </c>
    </row>
    <row r="256" spans="1:11">
      <c r="A256">
        <v>1</v>
      </c>
      <c r="B256" t="s">
        <v>29</v>
      </c>
      <c r="C256">
        <v>1</v>
      </c>
      <c r="D256" t="s">
        <v>51</v>
      </c>
      <c r="E256">
        <v>3</v>
      </c>
      <c r="F256" t="s">
        <v>122</v>
      </c>
      <c r="G256">
        <f>143</f>
        <v>143</v>
      </c>
      <c r="H256" s="33">
        <f>170*1.0218-50</f>
        <v>123.70600000000002</v>
      </c>
      <c r="I256">
        <f>85</f>
        <v>85</v>
      </c>
      <c r="J256" s="32">
        <f>Table1[[#This Row],[Target]]/Table1[[#This Row],[Price]]</f>
        <v>73.198816568047349</v>
      </c>
      <c r="K256">
        <v>1.69</v>
      </c>
    </row>
    <row r="257" spans="1:11" hidden="1">
      <c r="A257">
        <v>1</v>
      </c>
      <c r="B257" t="s">
        <v>29</v>
      </c>
      <c r="C257">
        <v>2</v>
      </c>
      <c r="D257" t="s">
        <v>52</v>
      </c>
      <c r="E257">
        <v>1</v>
      </c>
      <c r="F257" t="s">
        <v>78</v>
      </c>
      <c r="G257">
        <f>539</f>
        <v>539</v>
      </c>
      <c r="H257" s="33">
        <f>525*1.0201</f>
        <v>535.55250000000001</v>
      </c>
      <c r="I257">
        <f>90</f>
        <v>90</v>
      </c>
      <c r="J257" s="32">
        <f>Table1[[#This Row],[Target]]/Table1[[#This Row],[Price]]</f>
        <v>89.407762938230377</v>
      </c>
      <c r="K257">
        <v>5.99</v>
      </c>
    </row>
    <row r="258" spans="1:11" hidden="1">
      <c r="A258">
        <v>1</v>
      </c>
      <c r="B258" t="s">
        <v>29</v>
      </c>
      <c r="C258">
        <v>2</v>
      </c>
      <c r="D258" t="s">
        <v>52</v>
      </c>
      <c r="E258">
        <v>2</v>
      </c>
      <c r="F258" t="s">
        <v>79</v>
      </c>
      <c r="G258">
        <f>169</f>
        <v>169</v>
      </c>
      <c r="H258" s="33">
        <f>180*1.0201-50</f>
        <v>133.61799999999999</v>
      </c>
      <c r="I258">
        <f>85</f>
        <v>85</v>
      </c>
      <c r="J258" s="32">
        <f>Table1[[#This Row],[Target]]/Table1[[#This Row],[Price]]</f>
        <v>67.144723618090453</v>
      </c>
      <c r="K258">
        <v>1.99</v>
      </c>
    </row>
    <row r="259" spans="1:11" hidden="1">
      <c r="A259">
        <v>1</v>
      </c>
      <c r="B259" t="s">
        <v>29</v>
      </c>
      <c r="C259">
        <v>2</v>
      </c>
      <c r="D259" t="s">
        <v>52</v>
      </c>
      <c r="E259">
        <v>3</v>
      </c>
      <c r="F259" t="s">
        <v>80</v>
      </c>
      <c r="G259">
        <f>69</f>
        <v>69</v>
      </c>
      <c r="H259" s="33">
        <f>80*1.0201</f>
        <v>81.608000000000004</v>
      </c>
      <c r="I259">
        <f>70</f>
        <v>70</v>
      </c>
      <c r="J259" s="32">
        <f>Table1[[#This Row],[Target]]/Table1[[#This Row],[Price]]</f>
        <v>82.432323232323242</v>
      </c>
      <c r="K259">
        <v>0.99</v>
      </c>
    </row>
    <row r="260" spans="1:11" hidden="1">
      <c r="A260">
        <v>1</v>
      </c>
      <c r="B260" t="s">
        <v>29</v>
      </c>
      <c r="C260">
        <v>3</v>
      </c>
      <c r="D260" t="s">
        <v>53</v>
      </c>
      <c r="E260">
        <v>1</v>
      </c>
      <c r="F260" t="s">
        <v>111</v>
      </c>
      <c r="G260">
        <f>564</f>
        <v>564</v>
      </c>
      <c r="H260" s="33">
        <f>550*1.0208</f>
        <v>561.43999999999994</v>
      </c>
      <c r="I260">
        <f>87</f>
        <v>87</v>
      </c>
      <c r="J260" s="32">
        <f>Table1[[#This Row],[Target]]/Table1[[#This Row],[Price]]</f>
        <v>86.508474576271169</v>
      </c>
      <c r="K260">
        <v>6.49</v>
      </c>
    </row>
    <row r="261" spans="1:11" hidden="1">
      <c r="A261">
        <v>1</v>
      </c>
      <c r="B261" t="s">
        <v>29</v>
      </c>
      <c r="C261">
        <v>3</v>
      </c>
      <c r="D261" t="s">
        <v>53</v>
      </c>
      <c r="E261">
        <v>2</v>
      </c>
      <c r="F261" t="s">
        <v>112</v>
      </c>
      <c r="G261">
        <f>319</f>
        <v>319</v>
      </c>
      <c r="H261" s="33">
        <f>345*1.0208-50</f>
        <v>302.17599999999999</v>
      </c>
      <c r="I261">
        <f>80</f>
        <v>80</v>
      </c>
      <c r="J261" s="32">
        <f>Table1[[#This Row],[Target]]/Table1[[#This Row],[Price]]</f>
        <v>75.73333333333332</v>
      </c>
      <c r="K261">
        <v>3.99</v>
      </c>
    </row>
    <row r="262" spans="1:11" hidden="1">
      <c r="A262">
        <v>1</v>
      </c>
      <c r="B262" t="s">
        <v>29</v>
      </c>
      <c r="C262">
        <v>3</v>
      </c>
      <c r="D262" t="s">
        <v>53</v>
      </c>
      <c r="E262">
        <v>3</v>
      </c>
      <c r="F262" t="s">
        <v>88</v>
      </c>
      <c r="G262">
        <f>356</f>
        <v>356</v>
      </c>
      <c r="H262" s="33">
        <f>375*1.0208</f>
        <v>382.79999999999995</v>
      </c>
      <c r="I262">
        <f>70</f>
        <v>70</v>
      </c>
      <c r="J262" s="32">
        <f>Table1[[#This Row],[Target]]/Table1[[#This Row],[Price]]</f>
        <v>75.206286836935163</v>
      </c>
      <c r="K262">
        <v>5.09</v>
      </c>
    </row>
    <row r="263" spans="1:11" hidden="1">
      <c r="A263">
        <v>1</v>
      </c>
      <c r="B263" t="s">
        <v>30</v>
      </c>
      <c r="C263">
        <v>1</v>
      </c>
      <c r="D263" t="s">
        <v>51</v>
      </c>
      <c r="E263">
        <v>1</v>
      </c>
      <c r="F263" t="s">
        <v>69</v>
      </c>
      <c r="G263">
        <f>322</f>
        <v>322</v>
      </c>
      <c r="H263" s="33">
        <f>300*0.984</f>
        <v>295.2</v>
      </c>
      <c r="I263">
        <f>180</f>
        <v>180</v>
      </c>
      <c r="J263" s="32">
        <f>Table1[[#This Row],[Target]]/Table1[[#This Row],[Price]]</f>
        <v>164.91620111731842</v>
      </c>
      <c r="K263" s="14">
        <v>1.79</v>
      </c>
    </row>
    <row r="264" spans="1:11" hidden="1">
      <c r="A264">
        <v>1</v>
      </c>
      <c r="B264" t="s">
        <v>30</v>
      </c>
      <c r="C264">
        <v>1</v>
      </c>
      <c r="D264" t="s">
        <v>51</v>
      </c>
      <c r="E264">
        <v>2</v>
      </c>
      <c r="F264" t="s">
        <v>121</v>
      </c>
      <c r="G264">
        <f>399</f>
        <v>399</v>
      </c>
      <c r="H264" s="33">
        <f>380*0.984</f>
        <v>373.92</v>
      </c>
      <c r="I264">
        <f>100</f>
        <v>100</v>
      </c>
      <c r="J264" s="32">
        <f>Table1[[#This Row],[Target]]/Table1[[#This Row],[Price]]</f>
        <v>93.714285714285708</v>
      </c>
      <c r="K264">
        <v>3.99</v>
      </c>
    </row>
    <row r="265" spans="1:11">
      <c r="A265">
        <v>1</v>
      </c>
      <c r="B265" t="s">
        <v>30</v>
      </c>
      <c r="C265">
        <v>1</v>
      </c>
      <c r="D265" t="s">
        <v>51</v>
      </c>
      <c r="E265">
        <v>3</v>
      </c>
      <c r="F265" t="s">
        <v>122</v>
      </c>
      <c r="G265">
        <f>143</f>
        <v>143</v>
      </c>
      <c r="H265" s="33">
        <f>170*0.984</f>
        <v>167.28</v>
      </c>
      <c r="I265">
        <f>85</f>
        <v>85</v>
      </c>
      <c r="J265" s="32">
        <f>Table1[[#This Row],[Target]]/Table1[[#This Row],[Price]]</f>
        <v>98.982248520710058</v>
      </c>
      <c r="K265">
        <v>1.69</v>
      </c>
    </row>
    <row r="266" spans="1:11" hidden="1">
      <c r="A266">
        <v>1</v>
      </c>
      <c r="B266" t="s">
        <v>30</v>
      </c>
      <c r="C266">
        <v>2</v>
      </c>
      <c r="D266" t="s">
        <v>52</v>
      </c>
      <c r="E266">
        <v>1</v>
      </c>
      <c r="F266" t="s">
        <v>78</v>
      </c>
      <c r="G266">
        <f>539</f>
        <v>539</v>
      </c>
      <c r="H266" s="33">
        <f>525*1.219</f>
        <v>639.97500000000002</v>
      </c>
      <c r="I266">
        <f>90</f>
        <v>90</v>
      </c>
      <c r="J266" s="32">
        <f>Table1[[#This Row],[Target]]/Table1[[#This Row],[Price]]</f>
        <v>106.84056761268781</v>
      </c>
      <c r="K266">
        <v>5.99</v>
      </c>
    </row>
    <row r="267" spans="1:11" hidden="1">
      <c r="A267">
        <v>1</v>
      </c>
      <c r="B267" t="s">
        <v>30</v>
      </c>
      <c r="C267">
        <v>2</v>
      </c>
      <c r="D267" t="s">
        <v>52</v>
      </c>
      <c r="E267">
        <v>2</v>
      </c>
      <c r="F267" t="s">
        <v>79</v>
      </c>
      <c r="G267">
        <f>169</f>
        <v>169</v>
      </c>
      <c r="H267" s="33">
        <f>180*1.219</f>
        <v>219.42000000000002</v>
      </c>
      <c r="I267">
        <f>85</f>
        <v>85</v>
      </c>
      <c r="J267" s="32">
        <f>Table1[[#This Row],[Target]]/Table1[[#This Row],[Price]]</f>
        <v>110.26130653266333</v>
      </c>
      <c r="K267">
        <v>1.99</v>
      </c>
    </row>
    <row r="268" spans="1:11" hidden="1">
      <c r="A268">
        <v>1</v>
      </c>
      <c r="B268" t="s">
        <v>30</v>
      </c>
      <c r="C268">
        <v>2</v>
      </c>
      <c r="D268" t="s">
        <v>52</v>
      </c>
      <c r="E268">
        <v>3</v>
      </c>
      <c r="F268" t="s">
        <v>80</v>
      </c>
      <c r="G268">
        <f>69</f>
        <v>69</v>
      </c>
      <c r="H268" s="33">
        <f>80*1.219</f>
        <v>97.52000000000001</v>
      </c>
      <c r="I268">
        <f>70</f>
        <v>70</v>
      </c>
      <c r="J268" s="32">
        <f>Table1[[#This Row],[Target]]/Table1[[#This Row],[Price]]</f>
        <v>98.505050505050519</v>
      </c>
      <c r="K268">
        <v>0.99</v>
      </c>
    </row>
    <row r="269" spans="1:11" hidden="1">
      <c r="A269">
        <v>1</v>
      </c>
      <c r="B269" t="s">
        <v>30</v>
      </c>
      <c r="C269">
        <v>3</v>
      </c>
      <c r="D269" t="s">
        <v>53</v>
      </c>
      <c r="E269">
        <v>1</v>
      </c>
      <c r="F269" t="s">
        <v>111</v>
      </c>
      <c r="G269">
        <f>564</f>
        <v>564</v>
      </c>
      <c r="H269" s="33">
        <f>550*1.0339</f>
        <v>568.64499999999998</v>
      </c>
      <c r="I269">
        <f>87</f>
        <v>87</v>
      </c>
      <c r="J269" s="32">
        <f>Table1[[#This Row],[Target]]/Table1[[#This Row],[Price]]</f>
        <v>87.618644067796609</v>
      </c>
      <c r="K269">
        <v>6.49</v>
      </c>
    </row>
    <row r="270" spans="1:11" hidden="1">
      <c r="A270">
        <v>1</v>
      </c>
      <c r="B270" t="s">
        <v>30</v>
      </c>
      <c r="C270">
        <v>3</v>
      </c>
      <c r="D270" t="s">
        <v>53</v>
      </c>
      <c r="E270">
        <v>2</v>
      </c>
      <c r="F270" t="s">
        <v>112</v>
      </c>
      <c r="G270">
        <f>319</f>
        <v>319</v>
      </c>
      <c r="H270" s="33">
        <f>345*1.0339</f>
        <v>356.69550000000004</v>
      </c>
      <c r="I270">
        <f>80</f>
        <v>80</v>
      </c>
      <c r="J270" s="32">
        <f>Table1[[#This Row],[Target]]/Table1[[#This Row],[Price]]</f>
        <v>89.397368421052633</v>
      </c>
      <c r="K270">
        <v>3.99</v>
      </c>
    </row>
    <row r="271" spans="1:11" hidden="1">
      <c r="A271">
        <v>1</v>
      </c>
      <c r="B271" t="s">
        <v>30</v>
      </c>
      <c r="C271">
        <v>3</v>
      </c>
      <c r="D271" t="s">
        <v>53</v>
      </c>
      <c r="E271">
        <v>3</v>
      </c>
      <c r="F271" t="s">
        <v>88</v>
      </c>
      <c r="G271">
        <f>356</f>
        <v>356</v>
      </c>
      <c r="H271" s="33">
        <f>375*1.0339</f>
        <v>387.71250000000003</v>
      </c>
      <c r="I271">
        <f>70</f>
        <v>70</v>
      </c>
      <c r="J271" s="32">
        <f>Table1[[#This Row],[Target]]/Table1[[#This Row],[Price]]</f>
        <v>76.171414538310415</v>
      </c>
      <c r="K271">
        <v>5.09</v>
      </c>
    </row>
    <row r="272" spans="1:11" hidden="1">
      <c r="A272">
        <v>1</v>
      </c>
      <c r="B272" t="s">
        <v>31</v>
      </c>
      <c r="C272">
        <v>1</v>
      </c>
      <c r="D272" t="s">
        <v>51</v>
      </c>
      <c r="E272">
        <v>1</v>
      </c>
      <c r="F272" t="s">
        <v>69</v>
      </c>
      <c r="G272">
        <f>322</f>
        <v>322</v>
      </c>
      <c r="H272" s="33">
        <f>300*1.0316</f>
        <v>309.48</v>
      </c>
      <c r="I272">
        <f>180</f>
        <v>180</v>
      </c>
      <c r="J272" s="32">
        <f>Table1[[#This Row],[Target]]/Table1[[#This Row],[Price]]</f>
        <v>172.89385474860336</v>
      </c>
      <c r="K272" s="14">
        <v>1.79</v>
      </c>
    </row>
    <row r="273" spans="1:11" hidden="1">
      <c r="A273">
        <v>1</v>
      </c>
      <c r="B273" t="s">
        <v>31</v>
      </c>
      <c r="C273">
        <v>1</v>
      </c>
      <c r="D273" t="s">
        <v>51</v>
      </c>
      <c r="E273">
        <v>2</v>
      </c>
      <c r="F273" t="s">
        <v>121</v>
      </c>
      <c r="G273">
        <f>399</f>
        <v>399</v>
      </c>
      <c r="H273" s="33">
        <f>380*1.0316</f>
        <v>392.00800000000004</v>
      </c>
      <c r="I273">
        <f>100</f>
        <v>100</v>
      </c>
      <c r="J273" s="32">
        <f>Table1[[#This Row],[Target]]/Table1[[#This Row],[Price]]</f>
        <v>98.247619047619054</v>
      </c>
      <c r="K273">
        <v>3.99</v>
      </c>
    </row>
    <row r="274" spans="1:11">
      <c r="A274">
        <v>1</v>
      </c>
      <c r="B274" t="s">
        <v>31</v>
      </c>
      <c r="C274">
        <v>1</v>
      </c>
      <c r="D274" t="s">
        <v>51</v>
      </c>
      <c r="E274">
        <v>3</v>
      </c>
      <c r="F274" t="s">
        <v>122</v>
      </c>
      <c r="G274">
        <f>143</f>
        <v>143</v>
      </c>
      <c r="H274" s="33">
        <f>170*1.0316</f>
        <v>175.37200000000001</v>
      </c>
      <c r="I274">
        <f>85</f>
        <v>85</v>
      </c>
      <c r="J274" s="32">
        <f>Table1[[#This Row],[Target]]/Table1[[#This Row],[Price]]</f>
        <v>103.77041420118344</v>
      </c>
      <c r="K274">
        <v>1.69</v>
      </c>
    </row>
    <row r="275" spans="1:11" hidden="1">
      <c r="A275">
        <v>1</v>
      </c>
      <c r="B275" t="s">
        <v>31</v>
      </c>
      <c r="C275">
        <v>2</v>
      </c>
      <c r="D275" t="s">
        <v>52</v>
      </c>
      <c r="E275">
        <v>1</v>
      </c>
      <c r="F275" t="s">
        <v>78</v>
      </c>
      <c r="G275">
        <f>539</f>
        <v>539</v>
      </c>
      <c r="H275" s="33">
        <f>525*1.035</f>
        <v>543.375</v>
      </c>
      <c r="I275">
        <f>90</f>
        <v>90</v>
      </c>
      <c r="J275" s="32">
        <f>Table1[[#This Row],[Target]]/Table1[[#This Row],[Price]]</f>
        <v>90.713689482470784</v>
      </c>
      <c r="K275">
        <v>5.99</v>
      </c>
    </row>
    <row r="276" spans="1:11" hidden="1">
      <c r="A276">
        <v>1</v>
      </c>
      <c r="B276" t="s">
        <v>31</v>
      </c>
      <c r="C276">
        <v>2</v>
      </c>
      <c r="D276" t="s">
        <v>52</v>
      </c>
      <c r="E276">
        <v>2</v>
      </c>
      <c r="F276" t="s">
        <v>79</v>
      </c>
      <c r="G276">
        <f>169</f>
        <v>169</v>
      </c>
      <c r="H276" s="33">
        <f>180*1.035-50</f>
        <v>136.29999999999998</v>
      </c>
      <c r="I276">
        <f>85</f>
        <v>85</v>
      </c>
      <c r="J276" s="32">
        <f>Table1[[#This Row],[Target]]/Table1[[#This Row],[Price]]</f>
        <v>68.492462311557787</v>
      </c>
      <c r="K276">
        <v>1.99</v>
      </c>
    </row>
    <row r="277" spans="1:11" hidden="1">
      <c r="A277">
        <v>1</v>
      </c>
      <c r="B277" t="s">
        <v>31</v>
      </c>
      <c r="C277">
        <v>2</v>
      </c>
      <c r="D277" t="s">
        <v>52</v>
      </c>
      <c r="E277">
        <v>3</v>
      </c>
      <c r="F277" t="s">
        <v>80</v>
      </c>
      <c r="G277">
        <f>69</f>
        <v>69</v>
      </c>
      <c r="H277" s="33">
        <f>80*1.035</f>
        <v>82.8</v>
      </c>
      <c r="I277">
        <f>70</f>
        <v>70</v>
      </c>
      <c r="J277" s="32">
        <f>Table1[[#This Row],[Target]]/Table1[[#This Row],[Price]]</f>
        <v>83.63636363636364</v>
      </c>
      <c r="K277">
        <v>0.99</v>
      </c>
    </row>
    <row r="278" spans="1:11" hidden="1">
      <c r="A278">
        <v>1</v>
      </c>
      <c r="B278" t="s">
        <v>31</v>
      </c>
      <c r="C278">
        <v>3</v>
      </c>
      <c r="D278" t="s">
        <v>53</v>
      </c>
      <c r="E278">
        <v>1</v>
      </c>
      <c r="F278" t="s">
        <v>111</v>
      </c>
      <c r="G278">
        <f>564</f>
        <v>564</v>
      </c>
      <c r="H278" s="33">
        <f>550*1.0354-50</f>
        <v>519.47</v>
      </c>
      <c r="I278">
        <f>87</f>
        <v>87</v>
      </c>
      <c r="J278" s="32">
        <f>Table1[[#This Row],[Target]]/Table1[[#This Row],[Price]]</f>
        <v>80.04160246533128</v>
      </c>
      <c r="K278">
        <v>6.49</v>
      </c>
    </row>
    <row r="279" spans="1:11" hidden="1">
      <c r="A279">
        <v>1</v>
      </c>
      <c r="B279" t="s">
        <v>31</v>
      </c>
      <c r="C279">
        <v>3</v>
      </c>
      <c r="D279" t="s">
        <v>53</v>
      </c>
      <c r="E279">
        <v>2</v>
      </c>
      <c r="F279" t="s">
        <v>112</v>
      </c>
      <c r="G279">
        <f>319</f>
        <v>319</v>
      </c>
      <c r="H279" s="33">
        <f>345*1.0354-50</f>
        <v>307.21300000000002</v>
      </c>
      <c r="I279">
        <f>80</f>
        <v>80</v>
      </c>
      <c r="J279" s="32">
        <f>Table1[[#This Row],[Target]]/Table1[[#This Row],[Price]]</f>
        <v>76.995739348370932</v>
      </c>
      <c r="K279">
        <v>3.99</v>
      </c>
    </row>
    <row r="280" spans="1:11" hidden="1">
      <c r="A280">
        <v>1</v>
      </c>
      <c r="B280" t="s">
        <v>31</v>
      </c>
      <c r="C280">
        <v>3</v>
      </c>
      <c r="D280" t="s">
        <v>53</v>
      </c>
      <c r="E280">
        <v>3</v>
      </c>
      <c r="F280" t="s">
        <v>88</v>
      </c>
      <c r="G280">
        <f>356</f>
        <v>356</v>
      </c>
      <c r="H280" s="33">
        <f>375*1.0354</f>
        <v>388.27500000000003</v>
      </c>
      <c r="I280">
        <f>70</f>
        <v>70</v>
      </c>
      <c r="J280" s="32">
        <f>Table1[[#This Row],[Target]]/Table1[[#This Row],[Price]]</f>
        <v>76.281925343811409</v>
      </c>
      <c r="K280">
        <v>5.09</v>
      </c>
    </row>
    <row r="281" spans="1:11" hidden="1">
      <c r="A281">
        <v>1</v>
      </c>
      <c r="B281" t="s">
        <v>32</v>
      </c>
      <c r="C281">
        <v>1</v>
      </c>
      <c r="D281" t="s">
        <v>51</v>
      </c>
      <c r="E281">
        <v>1</v>
      </c>
      <c r="F281" t="s">
        <v>69</v>
      </c>
      <c r="G281">
        <f>322</f>
        <v>322</v>
      </c>
      <c r="H281" s="33">
        <f>300*1.0427</f>
        <v>312.81</v>
      </c>
      <c r="I281">
        <f>180</f>
        <v>180</v>
      </c>
      <c r="J281" s="32">
        <f>Table1[[#This Row],[Target]]/Table1[[#This Row],[Price]]</f>
        <v>174.75418994413408</v>
      </c>
      <c r="K281" s="14">
        <v>1.79</v>
      </c>
    </row>
    <row r="282" spans="1:11" hidden="1">
      <c r="A282">
        <v>1</v>
      </c>
      <c r="B282" t="s">
        <v>32</v>
      </c>
      <c r="C282">
        <v>1</v>
      </c>
      <c r="D282" t="s">
        <v>51</v>
      </c>
      <c r="E282">
        <v>2</v>
      </c>
      <c r="F282" t="s">
        <v>121</v>
      </c>
      <c r="G282">
        <f>399</f>
        <v>399</v>
      </c>
      <c r="H282" s="33">
        <f>380*1.0427</f>
        <v>396.226</v>
      </c>
      <c r="I282">
        <f>100</f>
        <v>100</v>
      </c>
      <c r="J282" s="32">
        <f>Table1[[#This Row],[Target]]/Table1[[#This Row],[Price]]</f>
        <v>99.304761904761904</v>
      </c>
      <c r="K282">
        <v>3.99</v>
      </c>
    </row>
    <row r="283" spans="1:11">
      <c r="A283">
        <v>1</v>
      </c>
      <c r="B283" t="s">
        <v>32</v>
      </c>
      <c r="C283">
        <v>1</v>
      </c>
      <c r="D283" t="s">
        <v>51</v>
      </c>
      <c r="E283">
        <v>3</v>
      </c>
      <c r="F283" t="s">
        <v>122</v>
      </c>
      <c r="G283">
        <f>143</f>
        <v>143</v>
      </c>
      <c r="H283" s="33">
        <f>170*1.0427-50</f>
        <v>127.25899999999999</v>
      </c>
      <c r="I283">
        <f>85</f>
        <v>85</v>
      </c>
      <c r="J283" s="32">
        <f>Table1[[#This Row],[Target]]/Table1[[#This Row],[Price]]</f>
        <v>75.301183431952651</v>
      </c>
      <c r="K283">
        <v>1.69</v>
      </c>
    </row>
    <row r="284" spans="1:11" hidden="1">
      <c r="A284">
        <v>1</v>
      </c>
      <c r="B284" t="s">
        <v>32</v>
      </c>
      <c r="C284">
        <v>2</v>
      </c>
      <c r="D284" t="s">
        <v>52</v>
      </c>
      <c r="E284">
        <v>1</v>
      </c>
      <c r="F284" t="s">
        <v>78</v>
      </c>
      <c r="G284">
        <f>539</f>
        <v>539</v>
      </c>
      <c r="H284" s="33">
        <f>525*1.0868</f>
        <v>570.57000000000005</v>
      </c>
      <c r="I284">
        <f>90</f>
        <v>90</v>
      </c>
      <c r="J284" s="32">
        <f>Table1[[#This Row],[Target]]/Table1[[#This Row],[Price]]</f>
        <v>95.253756260434059</v>
      </c>
      <c r="K284">
        <v>5.99</v>
      </c>
    </row>
    <row r="285" spans="1:11" hidden="1">
      <c r="A285">
        <v>1</v>
      </c>
      <c r="B285" t="s">
        <v>32</v>
      </c>
      <c r="C285">
        <v>2</v>
      </c>
      <c r="D285" t="s">
        <v>52</v>
      </c>
      <c r="E285">
        <v>2</v>
      </c>
      <c r="F285" t="s">
        <v>79</v>
      </c>
      <c r="G285">
        <f>169</f>
        <v>169</v>
      </c>
      <c r="H285" s="33">
        <f>180*1.0868-50</f>
        <v>145.624</v>
      </c>
      <c r="I285">
        <f>85</f>
        <v>85</v>
      </c>
      <c r="J285" s="32">
        <f>Table1[[#This Row],[Target]]/Table1[[#This Row],[Price]]</f>
        <v>73.177889447236183</v>
      </c>
      <c r="K285">
        <v>1.99</v>
      </c>
    </row>
    <row r="286" spans="1:11" hidden="1">
      <c r="A286">
        <v>1</v>
      </c>
      <c r="B286" t="s">
        <v>32</v>
      </c>
      <c r="C286">
        <v>2</v>
      </c>
      <c r="D286" t="s">
        <v>52</v>
      </c>
      <c r="E286">
        <v>3</v>
      </c>
      <c r="F286" t="s">
        <v>80</v>
      </c>
      <c r="G286">
        <f>69</f>
        <v>69</v>
      </c>
      <c r="H286" s="33">
        <f>80*1.0868-33</f>
        <v>53.944000000000003</v>
      </c>
      <c r="I286">
        <f>70</f>
        <v>70</v>
      </c>
      <c r="J286" s="32">
        <f>Table1[[#This Row],[Target]]/Table1[[#This Row],[Price]]</f>
        <v>54.488888888888894</v>
      </c>
      <c r="K286">
        <v>0.99</v>
      </c>
    </row>
    <row r="287" spans="1:11" hidden="1">
      <c r="A287">
        <v>1</v>
      </c>
      <c r="B287" t="s">
        <v>32</v>
      </c>
      <c r="C287">
        <v>3</v>
      </c>
      <c r="D287" t="s">
        <v>53</v>
      </c>
      <c r="E287">
        <v>1</v>
      </c>
      <c r="F287" t="s">
        <v>111</v>
      </c>
      <c r="G287">
        <f>564</f>
        <v>564</v>
      </c>
      <c r="H287" s="33">
        <f>550*1.0333-50</f>
        <v>518.31500000000005</v>
      </c>
      <c r="I287">
        <f>87</f>
        <v>87</v>
      </c>
      <c r="J287" s="32">
        <f>Table1[[#This Row],[Target]]/Table1[[#This Row],[Price]]</f>
        <v>79.863636363636374</v>
      </c>
      <c r="K287">
        <v>6.49</v>
      </c>
    </row>
    <row r="288" spans="1:11" hidden="1">
      <c r="A288">
        <v>1</v>
      </c>
      <c r="B288" t="s">
        <v>32</v>
      </c>
      <c r="C288">
        <v>3</v>
      </c>
      <c r="D288" t="s">
        <v>53</v>
      </c>
      <c r="E288">
        <v>2</v>
      </c>
      <c r="F288" t="s">
        <v>112</v>
      </c>
      <c r="G288">
        <f>319</f>
        <v>319</v>
      </c>
      <c r="H288" s="33">
        <f>345*1.0333-50</f>
        <v>306.48850000000004</v>
      </c>
      <c r="I288">
        <f>80</f>
        <v>80</v>
      </c>
      <c r="J288" s="32">
        <f>Table1[[#This Row],[Target]]/Table1[[#This Row],[Price]]</f>
        <v>76.814160401002511</v>
      </c>
      <c r="K288">
        <v>3.99</v>
      </c>
    </row>
    <row r="289" spans="1:11" hidden="1">
      <c r="A289">
        <v>1</v>
      </c>
      <c r="B289" t="s">
        <v>32</v>
      </c>
      <c r="C289">
        <v>3</v>
      </c>
      <c r="D289" t="s">
        <v>53</v>
      </c>
      <c r="E289">
        <v>3</v>
      </c>
      <c r="F289" t="s">
        <v>88</v>
      </c>
      <c r="G289">
        <f>356</f>
        <v>356</v>
      </c>
      <c r="H289" s="33">
        <f>375*1.0333</f>
        <v>387.48750000000007</v>
      </c>
      <c r="I289">
        <f>70</f>
        <v>70</v>
      </c>
      <c r="J289" s="32">
        <f>Table1[[#This Row],[Target]]/Table1[[#This Row],[Price]]</f>
        <v>76.127210216110029</v>
      </c>
      <c r="K289">
        <v>5.09</v>
      </c>
    </row>
    <row r="290" spans="1:11" hidden="1">
      <c r="A290">
        <v>1</v>
      </c>
      <c r="B290" t="s">
        <v>33</v>
      </c>
      <c r="C290">
        <v>1</v>
      </c>
      <c r="D290" t="s">
        <v>51</v>
      </c>
      <c r="E290">
        <v>1</v>
      </c>
      <c r="F290" t="s">
        <v>69</v>
      </c>
      <c r="G290">
        <f>322</f>
        <v>322</v>
      </c>
      <c r="H290" s="33">
        <f>300*1.0503</f>
        <v>315.09000000000003</v>
      </c>
      <c r="I290">
        <f>180</f>
        <v>180</v>
      </c>
      <c r="J290" s="32">
        <f>Table1[[#This Row],[Target]]/Table1[[#This Row],[Price]]</f>
        <v>176.02793296089388</v>
      </c>
      <c r="K290" s="14">
        <v>1.79</v>
      </c>
    </row>
    <row r="291" spans="1:11" hidden="1">
      <c r="A291">
        <v>1</v>
      </c>
      <c r="B291" t="s">
        <v>33</v>
      </c>
      <c r="C291">
        <v>1</v>
      </c>
      <c r="D291" t="s">
        <v>51</v>
      </c>
      <c r="E291">
        <v>2</v>
      </c>
      <c r="F291" t="s">
        <v>121</v>
      </c>
      <c r="G291">
        <f>399</f>
        <v>399</v>
      </c>
      <c r="H291" s="33">
        <f>380*1.0503-50</f>
        <v>349.11400000000003</v>
      </c>
      <c r="I291">
        <f>100</f>
        <v>100</v>
      </c>
      <c r="J291" s="32">
        <f>Table1[[#This Row],[Target]]/Table1[[#This Row],[Price]]</f>
        <v>87.497243107769421</v>
      </c>
      <c r="K291">
        <v>3.99</v>
      </c>
    </row>
    <row r="292" spans="1:11">
      <c r="A292">
        <v>1</v>
      </c>
      <c r="B292" t="s">
        <v>33</v>
      </c>
      <c r="C292">
        <v>1</v>
      </c>
      <c r="D292" t="s">
        <v>51</v>
      </c>
      <c r="E292">
        <v>3</v>
      </c>
      <c r="F292" t="s">
        <v>122</v>
      </c>
      <c r="G292">
        <f>143</f>
        <v>143</v>
      </c>
      <c r="H292" s="33">
        <f>170*1.0503</f>
        <v>178.55099999999999</v>
      </c>
      <c r="I292">
        <f>85</f>
        <v>85</v>
      </c>
      <c r="J292" s="32">
        <f>Table1[[#This Row],[Target]]/Table1[[#This Row],[Price]]</f>
        <v>105.65147928994082</v>
      </c>
      <c r="K292">
        <v>1.69</v>
      </c>
    </row>
    <row r="293" spans="1:11" hidden="1">
      <c r="A293">
        <v>1</v>
      </c>
      <c r="B293" t="s">
        <v>33</v>
      </c>
      <c r="C293">
        <v>2</v>
      </c>
      <c r="D293" t="s">
        <v>52</v>
      </c>
      <c r="E293">
        <v>1</v>
      </c>
      <c r="F293" t="s">
        <v>78</v>
      </c>
      <c r="G293">
        <f>539</f>
        <v>539</v>
      </c>
      <c r="H293" s="33">
        <f>525*0.601</f>
        <v>315.52499999999998</v>
      </c>
      <c r="I293">
        <f>90</f>
        <v>90</v>
      </c>
      <c r="J293" s="32">
        <f>Table1[[#This Row],[Target]]/Table1[[#This Row],[Price]]</f>
        <v>52.675292153589311</v>
      </c>
      <c r="K293">
        <v>5.99</v>
      </c>
    </row>
    <row r="294" spans="1:11" hidden="1">
      <c r="A294">
        <v>1</v>
      </c>
      <c r="B294" t="s">
        <v>33</v>
      </c>
      <c r="C294">
        <v>2</v>
      </c>
      <c r="D294" t="s">
        <v>52</v>
      </c>
      <c r="E294">
        <v>2</v>
      </c>
      <c r="F294" t="s">
        <v>79</v>
      </c>
      <c r="G294">
        <f>169</f>
        <v>169</v>
      </c>
      <c r="H294" s="33">
        <f>180*0.601</f>
        <v>108.17999999999999</v>
      </c>
      <c r="I294">
        <f>85</f>
        <v>85</v>
      </c>
      <c r="J294" s="32">
        <f>Table1[[#This Row],[Target]]/Table1[[#This Row],[Price]]</f>
        <v>54.361809045226124</v>
      </c>
      <c r="K294">
        <v>1.99</v>
      </c>
    </row>
    <row r="295" spans="1:11" hidden="1">
      <c r="A295">
        <v>1</v>
      </c>
      <c r="B295" t="s">
        <v>33</v>
      </c>
      <c r="C295">
        <v>2</v>
      </c>
      <c r="D295" t="s">
        <v>52</v>
      </c>
      <c r="E295">
        <v>3</v>
      </c>
      <c r="F295" t="s">
        <v>80</v>
      </c>
      <c r="G295">
        <f>69</f>
        <v>69</v>
      </c>
      <c r="H295" s="33">
        <f>80*0.601</f>
        <v>48.08</v>
      </c>
      <c r="I295">
        <f>70</f>
        <v>70</v>
      </c>
      <c r="J295" s="32">
        <f>Table1[[#This Row],[Target]]/Table1[[#This Row],[Price]]</f>
        <v>48.565656565656568</v>
      </c>
      <c r="K295">
        <v>0.99</v>
      </c>
    </row>
    <row r="296" spans="1:11" hidden="1">
      <c r="A296">
        <v>1</v>
      </c>
      <c r="B296" t="s">
        <v>33</v>
      </c>
      <c r="C296">
        <v>3</v>
      </c>
      <c r="D296" t="s">
        <v>53</v>
      </c>
      <c r="E296">
        <v>1</v>
      </c>
      <c r="F296" t="s">
        <v>111</v>
      </c>
      <c r="G296">
        <f>564</f>
        <v>564</v>
      </c>
      <c r="H296" s="33">
        <f>550*1.0687-50</f>
        <v>537.78499999999997</v>
      </c>
      <c r="I296">
        <f>87</f>
        <v>87</v>
      </c>
      <c r="J296" s="32">
        <f>Table1[[#This Row],[Target]]/Table1[[#This Row],[Price]]</f>
        <v>82.86363636363636</v>
      </c>
      <c r="K296">
        <v>6.49</v>
      </c>
    </row>
    <row r="297" spans="1:11" hidden="1">
      <c r="A297">
        <v>1</v>
      </c>
      <c r="B297" t="s">
        <v>33</v>
      </c>
      <c r="C297">
        <v>3</v>
      </c>
      <c r="D297" t="s">
        <v>53</v>
      </c>
      <c r="E297">
        <v>2</v>
      </c>
      <c r="F297" t="s">
        <v>112</v>
      </c>
      <c r="G297">
        <f>319</f>
        <v>319</v>
      </c>
      <c r="H297" s="33">
        <f>345*1.0687-50</f>
        <v>318.70150000000001</v>
      </c>
      <c r="I297">
        <f>80</f>
        <v>80</v>
      </c>
      <c r="J297" s="32">
        <f>Table1[[#This Row],[Target]]/Table1[[#This Row],[Price]]</f>
        <v>79.875062656641603</v>
      </c>
      <c r="K297">
        <v>3.99</v>
      </c>
    </row>
    <row r="298" spans="1:11" hidden="1">
      <c r="A298">
        <v>1</v>
      </c>
      <c r="B298" t="s">
        <v>33</v>
      </c>
      <c r="C298">
        <v>3</v>
      </c>
      <c r="D298" t="s">
        <v>53</v>
      </c>
      <c r="E298">
        <v>3</v>
      </c>
      <c r="F298" t="s">
        <v>88</v>
      </c>
      <c r="G298">
        <f>356</f>
        <v>356</v>
      </c>
      <c r="H298" s="33">
        <f>375*1.0687-50</f>
        <v>350.76249999999999</v>
      </c>
      <c r="I298">
        <f>70</f>
        <v>70</v>
      </c>
      <c r="J298" s="32">
        <f>Table1[[#This Row],[Target]]/Table1[[#This Row],[Price]]</f>
        <v>68.912082514734777</v>
      </c>
      <c r="K298">
        <v>5.09</v>
      </c>
    </row>
    <row r="299" spans="1:11" hidden="1">
      <c r="A299">
        <v>1</v>
      </c>
      <c r="B299" t="s">
        <v>34</v>
      </c>
      <c r="C299">
        <v>1</v>
      </c>
      <c r="D299" t="s">
        <v>51</v>
      </c>
      <c r="E299">
        <v>1</v>
      </c>
      <c r="F299" t="s">
        <v>69</v>
      </c>
      <c r="G299">
        <f>322</f>
        <v>322</v>
      </c>
      <c r="H299" s="33">
        <f>300*1.09</f>
        <v>327</v>
      </c>
      <c r="I299">
        <f>180</f>
        <v>180</v>
      </c>
      <c r="J299" s="32">
        <f>Table1[[#This Row],[Target]]/Table1[[#This Row],[Price]]</f>
        <v>182.68156424581005</v>
      </c>
      <c r="K299" s="14">
        <v>1.79</v>
      </c>
    </row>
    <row r="300" spans="1:11" hidden="1">
      <c r="A300">
        <v>1</v>
      </c>
      <c r="B300" t="s">
        <v>34</v>
      </c>
      <c r="C300">
        <v>1</v>
      </c>
      <c r="D300" t="s">
        <v>51</v>
      </c>
      <c r="E300">
        <v>2</v>
      </c>
      <c r="F300" t="s">
        <v>121</v>
      </c>
      <c r="G300">
        <f>399</f>
        <v>399</v>
      </c>
      <c r="H300" s="33">
        <f>380*1.09</f>
        <v>414.20000000000005</v>
      </c>
      <c r="I300">
        <f>100</f>
        <v>100</v>
      </c>
      <c r="J300" s="32">
        <f>Table1[[#This Row],[Target]]/Table1[[#This Row],[Price]]</f>
        <v>103.80952380952381</v>
      </c>
      <c r="K300">
        <v>3.99</v>
      </c>
    </row>
    <row r="301" spans="1:11">
      <c r="A301">
        <v>1</v>
      </c>
      <c r="B301" t="s">
        <v>34</v>
      </c>
      <c r="C301">
        <v>1</v>
      </c>
      <c r="D301" t="s">
        <v>51</v>
      </c>
      <c r="E301">
        <v>3</v>
      </c>
      <c r="F301" t="s">
        <v>122</v>
      </c>
      <c r="G301">
        <f>143</f>
        <v>143</v>
      </c>
      <c r="H301" s="33">
        <f>170*1.09</f>
        <v>185.3</v>
      </c>
      <c r="I301">
        <f>85</f>
        <v>85</v>
      </c>
      <c r="J301" s="32">
        <f>Table1[[#This Row],[Target]]/Table1[[#This Row],[Price]]</f>
        <v>109.6449704142012</v>
      </c>
      <c r="K301">
        <v>1.69</v>
      </c>
    </row>
    <row r="302" spans="1:11" hidden="1">
      <c r="A302">
        <v>1</v>
      </c>
      <c r="B302" t="s">
        <v>34</v>
      </c>
      <c r="C302">
        <v>2</v>
      </c>
      <c r="D302" t="s">
        <v>52</v>
      </c>
      <c r="E302">
        <v>1</v>
      </c>
      <c r="F302" t="s">
        <v>78</v>
      </c>
      <c r="G302">
        <f>539</f>
        <v>539</v>
      </c>
      <c r="H302" s="33">
        <f>525*1.07</f>
        <v>561.75</v>
      </c>
      <c r="I302">
        <f>90</f>
        <v>90</v>
      </c>
      <c r="J302" s="32">
        <f>Table1[[#This Row],[Target]]/Table1[[#This Row],[Price]]</f>
        <v>93.781302170283809</v>
      </c>
      <c r="K302">
        <v>5.99</v>
      </c>
    </row>
    <row r="303" spans="1:11" hidden="1">
      <c r="A303">
        <v>1</v>
      </c>
      <c r="B303" t="s">
        <v>34</v>
      </c>
      <c r="C303">
        <v>2</v>
      </c>
      <c r="D303" t="s">
        <v>52</v>
      </c>
      <c r="E303">
        <v>2</v>
      </c>
      <c r="F303" t="s">
        <v>79</v>
      </c>
      <c r="G303">
        <f>169</f>
        <v>169</v>
      </c>
      <c r="H303" s="33">
        <f>180*1.07</f>
        <v>192.60000000000002</v>
      </c>
      <c r="I303">
        <f>85</f>
        <v>85</v>
      </c>
      <c r="J303" s="32">
        <f>Table1[[#This Row],[Target]]/Table1[[#This Row],[Price]]</f>
        <v>96.783919597989964</v>
      </c>
      <c r="K303">
        <v>1.99</v>
      </c>
    </row>
    <row r="304" spans="1:11" hidden="1">
      <c r="A304">
        <v>1</v>
      </c>
      <c r="B304" t="s">
        <v>34</v>
      </c>
      <c r="C304">
        <v>2</v>
      </c>
      <c r="D304" t="s">
        <v>52</v>
      </c>
      <c r="E304">
        <v>3</v>
      </c>
      <c r="F304" t="s">
        <v>80</v>
      </c>
      <c r="G304">
        <f>69</f>
        <v>69</v>
      </c>
      <c r="H304" s="33">
        <f>80*1.07</f>
        <v>85.600000000000009</v>
      </c>
      <c r="I304">
        <f>70</f>
        <v>70</v>
      </c>
      <c r="J304" s="32">
        <f>Table1[[#This Row],[Target]]/Table1[[#This Row],[Price]]</f>
        <v>86.464646464646478</v>
      </c>
      <c r="K304">
        <v>0.99</v>
      </c>
    </row>
    <row r="305" spans="1:11" hidden="1">
      <c r="A305">
        <v>1</v>
      </c>
      <c r="B305" t="s">
        <v>34</v>
      </c>
      <c r="C305">
        <v>3</v>
      </c>
      <c r="D305" t="s">
        <v>53</v>
      </c>
      <c r="E305">
        <v>1</v>
      </c>
      <c r="F305" t="s">
        <v>111</v>
      </c>
      <c r="G305">
        <f>564</f>
        <v>564</v>
      </c>
      <c r="H305" s="33">
        <f>550*1.0145</f>
        <v>557.97500000000002</v>
      </c>
      <c r="I305">
        <f>87</f>
        <v>87</v>
      </c>
      <c r="J305" s="32">
        <f>Table1[[#This Row],[Target]]/Table1[[#This Row],[Price]]</f>
        <v>85.974576271186436</v>
      </c>
      <c r="K305">
        <v>6.49</v>
      </c>
    </row>
    <row r="306" spans="1:11" hidden="1">
      <c r="A306">
        <v>1</v>
      </c>
      <c r="B306" t="s">
        <v>34</v>
      </c>
      <c r="C306">
        <v>3</v>
      </c>
      <c r="D306" t="s">
        <v>53</v>
      </c>
      <c r="E306">
        <v>2</v>
      </c>
      <c r="F306" t="s">
        <v>112</v>
      </c>
      <c r="G306">
        <f>319</f>
        <v>319</v>
      </c>
      <c r="H306" s="33">
        <f>345*1.0145</f>
        <v>350.0025</v>
      </c>
      <c r="I306">
        <f>80</f>
        <v>80</v>
      </c>
      <c r="J306" s="32">
        <f>Table1[[#This Row],[Target]]/Table1[[#This Row],[Price]]</f>
        <v>87.719924812030072</v>
      </c>
      <c r="K306">
        <v>3.99</v>
      </c>
    </row>
    <row r="307" spans="1:11" hidden="1">
      <c r="A307">
        <v>1</v>
      </c>
      <c r="B307" t="s">
        <v>34</v>
      </c>
      <c r="C307">
        <v>3</v>
      </c>
      <c r="D307" t="s">
        <v>53</v>
      </c>
      <c r="E307">
        <v>3</v>
      </c>
      <c r="F307" t="s">
        <v>88</v>
      </c>
      <c r="G307">
        <f>356</f>
        <v>356</v>
      </c>
      <c r="H307" s="33">
        <f>375*1.0145</f>
        <v>380.4375</v>
      </c>
      <c r="I307">
        <f>70</f>
        <v>70</v>
      </c>
      <c r="J307" s="32">
        <f>Table1[[#This Row],[Target]]/Table1[[#This Row],[Price]]</f>
        <v>74.742141453831039</v>
      </c>
      <c r="K307">
        <v>5.09</v>
      </c>
    </row>
    <row r="308" spans="1:11" hidden="1">
      <c r="A308">
        <v>1</v>
      </c>
      <c r="B308" t="s">
        <v>35</v>
      </c>
      <c r="C308">
        <v>1</v>
      </c>
      <c r="D308" t="s">
        <v>51</v>
      </c>
      <c r="E308">
        <v>1</v>
      </c>
      <c r="F308" t="s">
        <v>69</v>
      </c>
      <c r="G308">
        <f>322</f>
        <v>322</v>
      </c>
      <c r="H308" s="33">
        <f>300*1.026</f>
        <v>307.8</v>
      </c>
      <c r="I308">
        <f>180</f>
        <v>180</v>
      </c>
      <c r="J308" s="32">
        <f>Table1[[#This Row],[Target]]/Table1[[#This Row],[Price]]</f>
        <v>171.95530726256985</v>
      </c>
      <c r="K308" s="14">
        <v>1.79</v>
      </c>
    </row>
    <row r="309" spans="1:11" hidden="1">
      <c r="A309">
        <v>1</v>
      </c>
      <c r="B309" t="s">
        <v>35</v>
      </c>
      <c r="C309">
        <v>1</v>
      </c>
      <c r="D309" t="s">
        <v>51</v>
      </c>
      <c r="E309">
        <v>2</v>
      </c>
      <c r="F309" t="s">
        <v>121</v>
      </c>
      <c r="G309">
        <f>399</f>
        <v>399</v>
      </c>
      <c r="H309" s="33">
        <f>380*1.026-50</f>
        <v>339.88</v>
      </c>
      <c r="I309">
        <f>100</f>
        <v>100</v>
      </c>
      <c r="J309" s="32">
        <f>Table1[[#This Row],[Target]]/Table1[[#This Row],[Price]]</f>
        <v>85.182957393483704</v>
      </c>
      <c r="K309">
        <v>3.99</v>
      </c>
    </row>
    <row r="310" spans="1:11">
      <c r="A310">
        <v>1</v>
      </c>
      <c r="B310" t="s">
        <v>35</v>
      </c>
      <c r="C310">
        <v>1</v>
      </c>
      <c r="D310" t="s">
        <v>51</v>
      </c>
      <c r="E310">
        <v>3</v>
      </c>
      <c r="F310" t="s">
        <v>122</v>
      </c>
      <c r="G310">
        <f>143</f>
        <v>143</v>
      </c>
      <c r="H310" s="33">
        <f>170*1.026</f>
        <v>174.42000000000002</v>
      </c>
      <c r="I310">
        <f>85</f>
        <v>85</v>
      </c>
      <c r="J310" s="32">
        <f>Table1[[#This Row],[Target]]/Table1[[#This Row],[Price]]</f>
        <v>103.20710059171599</v>
      </c>
      <c r="K310">
        <v>1.69</v>
      </c>
    </row>
    <row r="311" spans="1:11" hidden="1">
      <c r="A311">
        <v>1</v>
      </c>
      <c r="B311" t="s">
        <v>35</v>
      </c>
      <c r="C311">
        <v>2</v>
      </c>
      <c r="D311" t="s">
        <v>52</v>
      </c>
      <c r="E311">
        <v>1</v>
      </c>
      <c r="F311" t="s">
        <v>78</v>
      </c>
      <c r="G311">
        <f>539</f>
        <v>539</v>
      </c>
      <c r="H311" s="33">
        <f>525*1.0358-50</f>
        <v>493.79500000000007</v>
      </c>
      <c r="I311">
        <f>90</f>
        <v>90</v>
      </c>
      <c r="J311" s="32">
        <f>Table1[[#This Row],[Target]]/Table1[[#This Row],[Price]]</f>
        <v>82.436560934891489</v>
      </c>
      <c r="K311">
        <v>5.99</v>
      </c>
    </row>
    <row r="312" spans="1:11" hidden="1">
      <c r="A312">
        <v>1</v>
      </c>
      <c r="B312" t="s">
        <v>35</v>
      </c>
      <c r="C312">
        <v>2</v>
      </c>
      <c r="D312" t="s">
        <v>52</v>
      </c>
      <c r="E312">
        <v>2</v>
      </c>
      <c r="F312" t="s">
        <v>79</v>
      </c>
      <c r="G312">
        <f>169</f>
        <v>169</v>
      </c>
      <c r="H312" s="33">
        <f>180*1.0358</f>
        <v>186.44400000000002</v>
      </c>
      <c r="I312">
        <f>85</f>
        <v>85</v>
      </c>
      <c r="J312" s="32">
        <f>Table1[[#This Row],[Target]]/Table1[[#This Row],[Price]]</f>
        <v>93.690452261306547</v>
      </c>
      <c r="K312">
        <v>1.99</v>
      </c>
    </row>
    <row r="313" spans="1:11" hidden="1">
      <c r="A313">
        <v>1</v>
      </c>
      <c r="B313" t="s">
        <v>35</v>
      </c>
      <c r="C313">
        <v>2</v>
      </c>
      <c r="D313" t="s">
        <v>52</v>
      </c>
      <c r="E313">
        <v>3</v>
      </c>
      <c r="F313" t="s">
        <v>80</v>
      </c>
      <c r="G313">
        <f>69</f>
        <v>69</v>
      </c>
      <c r="H313" s="33">
        <f>80*1.0358</f>
        <v>82.864000000000004</v>
      </c>
      <c r="I313">
        <f>70</f>
        <v>70</v>
      </c>
      <c r="J313" s="32">
        <f>Table1[[#This Row],[Target]]/Table1[[#This Row],[Price]]</f>
        <v>83.701010101010112</v>
      </c>
      <c r="K313">
        <v>0.99</v>
      </c>
    </row>
    <row r="314" spans="1:11" hidden="1">
      <c r="A314">
        <v>1</v>
      </c>
      <c r="B314" t="s">
        <v>35</v>
      </c>
      <c r="C314">
        <v>3</v>
      </c>
      <c r="D314" t="s">
        <v>53</v>
      </c>
      <c r="E314">
        <v>1</v>
      </c>
      <c r="F314" t="s">
        <v>111</v>
      </c>
      <c r="G314">
        <f>564</f>
        <v>564</v>
      </c>
      <c r="H314" s="33">
        <f>550*1.0347-50</f>
        <v>519.08499999999992</v>
      </c>
      <c r="I314">
        <f>87</f>
        <v>87</v>
      </c>
      <c r="J314" s="32">
        <f>Table1[[#This Row],[Target]]/Table1[[#This Row],[Price]]</f>
        <v>79.982280431432955</v>
      </c>
      <c r="K314">
        <v>6.49</v>
      </c>
    </row>
    <row r="315" spans="1:11" hidden="1">
      <c r="A315">
        <v>1</v>
      </c>
      <c r="B315" t="s">
        <v>35</v>
      </c>
      <c r="C315">
        <v>3</v>
      </c>
      <c r="D315" t="s">
        <v>53</v>
      </c>
      <c r="E315">
        <v>2</v>
      </c>
      <c r="F315" t="s">
        <v>112</v>
      </c>
      <c r="G315">
        <f>319</f>
        <v>319</v>
      </c>
      <c r="H315" s="33">
        <f>345*1.0347</f>
        <v>356.97149999999999</v>
      </c>
      <c r="I315">
        <f>80</f>
        <v>80</v>
      </c>
      <c r="J315" s="32">
        <f>Table1[[#This Row],[Target]]/Table1[[#This Row],[Price]]</f>
        <v>89.466541353383448</v>
      </c>
      <c r="K315">
        <v>3.99</v>
      </c>
    </row>
    <row r="316" spans="1:11" hidden="1">
      <c r="A316">
        <v>1</v>
      </c>
      <c r="B316" t="s">
        <v>35</v>
      </c>
      <c r="C316">
        <v>3</v>
      </c>
      <c r="D316" t="s">
        <v>53</v>
      </c>
      <c r="E316">
        <v>3</v>
      </c>
      <c r="F316" t="s">
        <v>88</v>
      </c>
      <c r="G316">
        <f>356</f>
        <v>356</v>
      </c>
      <c r="H316" s="33">
        <f>375*1.0347</f>
        <v>388.01249999999999</v>
      </c>
      <c r="I316">
        <f>70</f>
        <v>70</v>
      </c>
      <c r="J316" s="32">
        <f>Table1[[#This Row],[Target]]/Table1[[#This Row],[Price]]</f>
        <v>76.230353634577597</v>
      </c>
      <c r="K316">
        <v>5.09</v>
      </c>
    </row>
    <row r="317" spans="1:11" hidden="1">
      <c r="A317">
        <v>1</v>
      </c>
      <c r="B317" t="s">
        <v>36</v>
      </c>
      <c r="C317">
        <v>1</v>
      </c>
      <c r="D317" t="s">
        <v>51</v>
      </c>
      <c r="E317">
        <v>1</v>
      </c>
      <c r="F317" t="s">
        <v>69</v>
      </c>
      <c r="G317">
        <f>322</f>
        <v>322</v>
      </c>
      <c r="H317" s="33">
        <f>300*1.0686</f>
        <v>320.58</v>
      </c>
      <c r="I317">
        <f>180</f>
        <v>180</v>
      </c>
      <c r="J317" s="32">
        <f>Table1[[#This Row],[Target]]/Table1[[#This Row],[Price]]</f>
        <v>179.09497206703909</v>
      </c>
      <c r="K317" s="14">
        <v>1.79</v>
      </c>
    </row>
    <row r="318" spans="1:11" hidden="1">
      <c r="A318">
        <v>1</v>
      </c>
      <c r="B318" t="s">
        <v>36</v>
      </c>
      <c r="C318">
        <v>1</v>
      </c>
      <c r="D318" t="s">
        <v>51</v>
      </c>
      <c r="E318">
        <v>2</v>
      </c>
      <c r="F318" t="s">
        <v>121</v>
      </c>
      <c r="G318">
        <f>399</f>
        <v>399</v>
      </c>
      <c r="H318" s="33">
        <f>380*1.0686-50</f>
        <v>356.06799999999998</v>
      </c>
      <c r="I318">
        <f>100</f>
        <v>100</v>
      </c>
      <c r="J318" s="32">
        <f>Table1[[#This Row],[Target]]/Table1[[#This Row],[Price]]</f>
        <v>89.240100250626554</v>
      </c>
      <c r="K318">
        <v>3.99</v>
      </c>
    </row>
    <row r="319" spans="1:11">
      <c r="A319">
        <v>1</v>
      </c>
      <c r="B319" t="s">
        <v>36</v>
      </c>
      <c r="C319">
        <v>1</v>
      </c>
      <c r="D319" t="s">
        <v>51</v>
      </c>
      <c r="E319">
        <v>3</v>
      </c>
      <c r="F319" t="s">
        <v>122</v>
      </c>
      <c r="G319">
        <f>143</f>
        <v>143</v>
      </c>
      <c r="H319" s="33">
        <f>170*1.0686-50</f>
        <v>131.66200000000001</v>
      </c>
      <c r="I319">
        <f>85</f>
        <v>85</v>
      </c>
      <c r="J319" s="32">
        <f>Table1[[#This Row],[Target]]/Table1[[#This Row],[Price]]</f>
        <v>77.906508875739647</v>
      </c>
      <c r="K319">
        <v>1.69</v>
      </c>
    </row>
    <row r="320" spans="1:11" hidden="1">
      <c r="A320">
        <v>1</v>
      </c>
      <c r="B320" t="s">
        <v>36</v>
      </c>
      <c r="C320">
        <v>2</v>
      </c>
      <c r="D320" t="s">
        <v>52</v>
      </c>
      <c r="E320">
        <v>1</v>
      </c>
      <c r="F320" t="s">
        <v>78</v>
      </c>
      <c r="G320">
        <f>539</f>
        <v>539</v>
      </c>
      <c r="H320" s="33">
        <f>525*0.707</f>
        <v>371.17499999999995</v>
      </c>
      <c r="I320">
        <f>90</f>
        <v>90</v>
      </c>
      <c r="J320" s="32">
        <f>Table1[[#This Row],[Target]]/Table1[[#This Row],[Price]]</f>
        <v>61.965776293823026</v>
      </c>
      <c r="K320">
        <v>5.99</v>
      </c>
    </row>
    <row r="321" spans="1:11" hidden="1">
      <c r="A321">
        <v>1</v>
      </c>
      <c r="B321" t="s">
        <v>36</v>
      </c>
      <c r="C321">
        <v>2</v>
      </c>
      <c r="D321" t="s">
        <v>52</v>
      </c>
      <c r="E321">
        <v>2</v>
      </c>
      <c r="F321" t="s">
        <v>79</v>
      </c>
      <c r="G321">
        <f>169</f>
        <v>169</v>
      </c>
      <c r="H321" s="33">
        <f>180*0.707</f>
        <v>127.25999999999999</v>
      </c>
      <c r="I321">
        <f>85</f>
        <v>85</v>
      </c>
      <c r="J321" s="32">
        <f>Table1[[#This Row],[Target]]/Table1[[#This Row],[Price]]</f>
        <v>63.949748743718587</v>
      </c>
      <c r="K321">
        <v>1.99</v>
      </c>
    </row>
    <row r="322" spans="1:11" hidden="1">
      <c r="A322">
        <v>1</v>
      </c>
      <c r="B322" t="s">
        <v>36</v>
      </c>
      <c r="C322">
        <v>2</v>
      </c>
      <c r="D322" t="s">
        <v>52</v>
      </c>
      <c r="E322">
        <v>3</v>
      </c>
      <c r="F322" t="s">
        <v>80</v>
      </c>
      <c r="G322">
        <f>69</f>
        <v>69</v>
      </c>
      <c r="H322" s="33">
        <f>80*0.707</f>
        <v>56.559999999999995</v>
      </c>
      <c r="I322">
        <f>70</f>
        <v>70</v>
      </c>
      <c r="J322" s="32">
        <f>Table1[[#This Row],[Target]]/Table1[[#This Row],[Price]]</f>
        <v>57.131313131313128</v>
      </c>
      <c r="K322">
        <v>0.99</v>
      </c>
    </row>
    <row r="323" spans="1:11" hidden="1">
      <c r="A323">
        <v>1</v>
      </c>
      <c r="B323" t="s">
        <v>36</v>
      </c>
      <c r="C323">
        <v>3</v>
      </c>
      <c r="D323" t="s">
        <v>53</v>
      </c>
      <c r="E323">
        <v>1</v>
      </c>
      <c r="F323" t="s">
        <v>111</v>
      </c>
      <c r="G323">
        <f>564</f>
        <v>564</v>
      </c>
      <c r="H323" s="33">
        <f>550*1.0402</f>
        <v>572.11</v>
      </c>
      <c r="I323">
        <f>87</f>
        <v>87</v>
      </c>
      <c r="J323" s="32">
        <f>Table1[[#This Row],[Target]]/Table1[[#This Row],[Price]]</f>
        <v>88.152542372881356</v>
      </c>
      <c r="K323">
        <v>6.49</v>
      </c>
    </row>
    <row r="324" spans="1:11" hidden="1">
      <c r="A324">
        <v>1</v>
      </c>
      <c r="B324" t="s">
        <v>36</v>
      </c>
      <c r="C324">
        <v>3</v>
      </c>
      <c r="D324" t="s">
        <v>53</v>
      </c>
      <c r="E324">
        <v>2</v>
      </c>
      <c r="F324" t="s">
        <v>112</v>
      </c>
      <c r="G324">
        <f>319</f>
        <v>319</v>
      </c>
      <c r="H324" s="33">
        <f>345*1.0402-50</f>
        <v>308.86900000000003</v>
      </c>
      <c r="I324">
        <f>80</f>
        <v>80</v>
      </c>
      <c r="J324" s="32">
        <f>Table1[[#This Row],[Target]]/Table1[[#This Row],[Price]]</f>
        <v>77.410776942355895</v>
      </c>
      <c r="K324">
        <v>3.99</v>
      </c>
    </row>
    <row r="325" spans="1:11" hidden="1">
      <c r="A325">
        <v>1</v>
      </c>
      <c r="B325" t="s">
        <v>36</v>
      </c>
      <c r="C325">
        <v>3</v>
      </c>
      <c r="D325" t="s">
        <v>53</v>
      </c>
      <c r="E325">
        <v>3</v>
      </c>
      <c r="F325" t="s">
        <v>88</v>
      </c>
      <c r="G325">
        <f>356</f>
        <v>356</v>
      </c>
      <c r="H325" s="33">
        <f>375*1.0402</f>
        <v>390.07499999999999</v>
      </c>
      <c r="I325">
        <f>70</f>
        <v>70</v>
      </c>
      <c r="J325" s="32">
        <f>Table1[[#This Row],[Target]]/Table1[[#This Row],[Price]]</f>
        <v>76.63555992141454</v>
      </c>
      <c r="K325">
        <v>5.09</v>
      </c>
    </row>
    <row r="326" spans="1:11" hidden="1">
      <c r="A326">
        <v>1</v>
      </c>
      <c r="B326" t="s">
        <v>37</v>
      </c>
      <c r="C326">
        <v>1</v>
      </c>
      <c r="D326" t="s">
        <v>51</v>
      </c>
      <c r="E326">
        <v>1</v>
      </c>
      <c r="F326" t="s">
        <v>69</v>
      </c>
      <c r="G326">
        <f>322</f>
        <v>322</v>
      </c>
      <c r="H326" s="33">
        <f>300*1.0648</f>
        <v>319.44</v>
      </c>
      <c r="I326">
        <f>180</f>
        <v>180</v>
      </c>
      <c r="J326" s="32">
        <f>Table1[[#This Row],[Target]]/Table1[[#This Row],[Price]]</f>
        <v>178.45810055865923</v>
      </c>
      <c r="K326" s="14">
        <v>1.79</v>
      </c>
    </row>
    <row r="327" spans="1:11" hidden="1">
      <c r="A327">
        <v>1</v>
      </c>
      <c r="B327" t="s">
        <v>37</v>
      </c>
      <c r="C327">
        <v>1</v>
      </c>
      <c r="D327" t="s">
        <v>51</v>
      </c>
      <c r="E327">
        <v>2</v>
      </c>
      <c r="F327" t="s">
        <v>121</v>
      </c>
      <c r="G327">
        <f>399</f>
        <v>399</v>
      </c>
      <c r="H327" s="33">
        <f>380*1.0648-50</f>
        <v>354.62399999999997</v>
      </c>
      <c r="I327">
        <f>100</f>
        <v>100</v>
      </c>
      <c r="J327" s="32">
        <f>Table1[[#This Row],[Target]]/Table1[[#This Row],[Price]]</f>
        <v>88.878195488721786</v>
      </c>
      <c r="K327">
        <v>3.99</v>
      </c>
    </row>
    <row r="328" spans="1:11">
      <c r="A328">
        <v>1</v>
      </c>
      <c r="B328" t="s">
        <v>37</v>
      </c>
      <c r="C328">
        <v>1</v>
      </c>
      <c r="D328" t="s">
        <v>51</v>
      </c>
      <c r="E328">
        <v>3</v>
      </c>
      <c r="F328" t="s">
        <v>122</v>
      </c>
      <c r="G328">
        <f>143</f>
        <v>143</v>
      </c>
      <c r="H328" s="33">
        <f>170*1.0648</f>
        <v>181.01599999999999</v>
      </c>
      <c r="I328">
        <f>85</f>
        <v>85</v>
      </c>
      <c r="J328" s="32">
        <f>Table1[[#This Row],[Target]]/Table1[[#This Row],[Price]]</f>
        <v>107.11005917159763</v>
      </c>
      <c r="K328">
        <v>1.69</v>
      </c>
    </row>
    <row r="329" spans="1:11" hidden="1">
      <c r="A329">
        <v>1</v>
      </c>
      <c r="B329" t="s">
        <v>37</v>
      </c>
      <c r="C329">
        <v>2</v>
      </c>
      <c r="D329" t="s">
        <v>52</v>
      </c>
      <c r="E329">
        <v>1</v>
      </c>
      <c r="F329" t="s">
        <v>78</v>
      </c>
      <c r="G329">
        <f>539</f>
        <v>539</v>
      </c>
      <c r="H329" s="33">
        <f>525*1.0333-50</f>
        <v>492.48250000000007</v>
      </c>
      <c r="I329">
        <f>90</f>
        <v>90</v>
      </c>
      <c r="J329" s="32">
        <f>Table1[[#This Row],[Target]]/Table1[[#This Row],[Price]]</f>
        <v>82.217445742904857</v>
      </c>
      <c r="K329">
        <v>5.99</v>
      </c>
    </row>
    <row r="330" spans="1:11" hidden="1">
      <c r="A330">
        <v>1</v>
      </c>
      <c r="B330" t="s">
        <v>37</v>
      </c>
      <c r="C330">
        <v>2</v>
      </c>
      <c r="D330" t="s">
        <v>52</v>
      </c>
      <c r="E330">
        <v>2</v>
      </c>
      <c r="F330" t="s">
        <v>79</v>
      </c>
      <c r="G330">
        <f>169</f>
        <v>169</v>
      </c>
      <c r="H330" s="33">
        <f>180*1.0333</f>
        <v>185.99400000000003</v>
      </c>
      <c r="I330">
        <f>85</f>
        <v>85</v>
      </c>
      <c r="J330" s="32">
        <f>Table1[[#This Row],[Target]]/Table1[[#This Row],[Price]]</f>
        <v>93.464321608040223</v>
      </c>
      <c r="K330">
        <v>1.99</v>
      </c>
    </row>
    <row r="331" spans="1:11" hidden="1">
      <c r="A331">
        <v>1</v>
      </c>
      <c r="B331" t="s">
        <v>37</v>
      </c>
      <c r="C331">
        <v>2</v>
      </c>
      <c r="D331" t="s">
        <v>52</v>
      </c>
      <c r="E331">
        <v>3</v>
      </c>
      <c r="F331" t="s">
        <v>80</v>
      </c>
      <c r="G331">
        <f>69</f>
        <v>69</v>
      </c>
      <c r="H331" s="33">
        <f>80*1.0333</f>
        <v>82.664000000000016</v>
      </c>
      <c r="I331">
        <f>70</f>
        <v>70</v>
      </c>
      <c r="J331" s="32">
        <f>Table1[[#This Row],[Target]]/Table1[[#This Row],[Price]]</f>
        <v>83.498989898989919</v>
      </c>
      <c r="K331">
        <v>0.99</v>
      </c>
    </row>
    <row r="332" spans="1:11" hidden="1">
      <c r="A332">
        <v>1</v>
      </c>
      <c r="B332" t="s">
        <v>37</v>
      </c>
      <c r="C332">
        <v>3</v>
      </c>
      <c r="D332" t="s">
        <v>53</v>
      </c>
      <c r="E332">
        <v>1</v>
      </c>
      <c r="F332" t="s">
        <v>111</v>
      </c>
      <c r="G332">
        <f>564</f>
        <v>564</v>
      </c>
      <c r="H332" s="33">
        <f>550*0.604</f>
        <v>332.2</v>
      </c>
      <c r="I332">
        <f>87</f>
        <v>87</v>
      </c>
      <c r="J332" s="32">
        <f>Table1[[#This Row],[Target]]/Table1[[#This Row],[Price]]</f>
        <v>51.186440677966097</v>
      </c>
      <c r="K332">
        <v>6.49</v>
      </c>
    </row>
    <row r="333" spans="1:11" hidden="1">
      <c r="A333">
        <v>1</v>
      </c>
      <c r="B333" t="s">
        <v>37</v>
      </c>
      <c r="C333">
        <v>3</v>
      </c>
      <c r="D333" t="s">
        <v>53</v>
      </c>
      <c r="E333">
        <v>2</v>
      </c>
      <c r="F333" t="s">
        <v>112</v>
      </c>
      <c r="G333">
        <f>319</f>
        <v>319</v>
      </c>
      <c r="H333" s="33">
        <f>345*0.604</f>
        <v>208.38</v>
      </c>
      <c r="I333">
        <f>80</f>
        <v>80</v>
      </c>
      <c r="J333" s="32">
        <f>Table1[[#This Row],[Target]]/Table1[[#This Row],[Price]]</f>
        <v>52.225563909774429</v>
      </c>
      <c r="K333">
        <v>3.99</v>
      </c>
    </row>
    <row r="334" spans="1:11" hidden="1">
      <c r="A334">
        <v>1</v>
      </c>
      <c r="B334" t="s">
        <v>37</v>
      </c>
      <c r="C334">
        <v>3</v>
      </c>
      <c r="D334" t="s">
        <v>53</v>
      </c>
      <c r="E334">
        <v>3</v>
      </c>
      <c r="F334" t="s">
        <v>88</v>
      </c>
      <c r="G334">
        <f>356</f>
        <v>356</v>
      </c>
      <c r="H334" s="33">
        <f>375*0.604+45</f>
        <v>271.5</v>
      </c>
      <c r="I334">
        <f>70</f>
        <v>70</v>
      </c>
      <c r="J334" s="32">
        <f>Table1[[#This Row],[Target]]/Table1[[#This Row],[Price]]</f>
        <v>53.33988212180747</v>
      </c>
      <c r="K334">
        <v>5.09</v>
      </c>
    </row>
    <row r="335" spans="1:11" hidden="1">
      <c r="A335">
        <v>1</v>
      </c>
      <c r="B335" t="s">
        <v>38</v>
      </c>
      <c r="C335">
        <v>1</v>
      </c>
      <c r="D335" t="s">
        <v>51</v>
      </c>
      <c r="E335">
        <v>1</v>
      </c>
      <c r="F335" t="s">
        <v>69</v>
      </c>
      <c r="G335">
        <f>322</f>
        <v>322</v>
      </c>
      <c r="H335" s="33">
        <f>300*1.0844</f>
        <v>325.32</v>
      </c>
      <c r="I335">
        <f>180</f>
        <v>180</v>
      </c>
      <c r="J335" s="32">
        <f>Table1[[#This Row],[Target]]/Table1[[#This Row],[Price]]</f>
        <v>181.74301675977654</v>
      </c>
      <c r="K335" s="14">
        <v>1.79</v>
      </c>
    </row>
    <row r="336" spans="1:11" hidden="1">
      <c r="A336">
        <v>1</v>
      </c>
      <c r="B336" t="s">
        <v>38</v>
      </c>
      <c r="C336">
        <v>1</v>
      </c>
      <c r="D336" t="s">
        <v>51</v>
      </c>
      <c r="E336">
        <v>2</v>
      </c>
      <c r="F336" t="s">
        <v>121</v>
      </c>
      <c r="G336">
        <f>399</f>
        <v>399</v>
      </c>
      <c r="H336" s="33">
        <f>380*1.0844-50</f>
        <v>362.072</v>
      </c>
      <c r="I336">
        <f>100</f>
        <v>100</v>
      </c>
      <c r="J336" s="32">
        <f>Table1[[#This Row],[Target]]/Table1[[#This Row],[Price]]</f>
        <v>90.744862155388461</v>
      </c>
      <c r="K336">
        <v>3.99</v>
      </c>
    </row>
    <row r="337" spans="1:11">
      <c r="A337">
        <v>1</v>
      </c>
      <c r="B337" t="s">
        <v>38</v>
      </c>
      <c r="C337">
        <v>1</v>
      </c>
      <c r="D337" t="s">
        <v>51</v>
      </c>
      <c r="E337">
        <v>3</v>
      </c>
      <c r="F337" t="s">
        <v>122</v>
      </c>
      <c r="G337">
        <f>143</f>
        <v>143</v>
      </c>
      <c r="H337" s="33">
        <f>170*1.0844-50</f>
        <v>134.34800000000001</v>
      </c>
      <c r="I337">
        <f>85</f>
        <v>85</v>
      </c>
      <c r="J337" s="32">
        <f>Table1[[#This Row],[Target]]/Table1[[#This Row],[Price]]</f>
        <v>79.495857988165696</v>
      </c>
      <c r="K337">
        <v>1.69</v>
      </c>
    </row>
    <row r="338" spans="1:11" hidden="1">
      <c r="A338">
        <v>1</v>
      </c>
      <c r="B338" t="s">
        <v>38</v>
      </c>
      <c r="C338">
        <v>2</v>
      </c>
      <c r="D338" t="s">
        <v>52</v>
      </c>
      <c r="E338">
        <v>1</v>
      </c>
      <c r="F338" t="s">
        <v>78</v>
      </c>
      <c r="G338">
        <f>539</f>
        <v>539</v>
      </c>
      <c r="H338" s="33">
        <f>525*1.0225</f>
        <v>536.8125</v>
      </c>
      <c r="I338">
        <f>90</f>
        <v>90</v>
      </c>
      <c r="J338" s="32">
        <f>Table1[[#This Row],[Target]]/Table1[[#This Row],[Price]]</f>
        <v>89.618113522537556</v>
      </c>
      <c r="K338">
        <v>5.99</v>
      </c>
    </row>
    <row r="339" spans="1:11" hidden="1">
      <c r="A339">
        <v>1</v>
      </c>
      <c r="B339" t="s">
        <v>38</v>
      </c>
      <c r="C339">
        <v>2</v>
      </c>
      <c r="D339" t="s">
        <v>52</v>
      </c>
      <c r="E339">
        <v>2</v>
      </c>
      <c r="F339" t="s">
        <v>79</v>
      </c>
      <c r="G339">
        <f>169</f>
        <v>169</v>
      </c>
      <c r="H339" s="33">
        <f>180*1.0225-50</f>
        <v>134.04999999999998</v>
      </c>
      <c r="I339">
        <f>85</f>
        <v>85</v>
      </c>
      <c r="J339" s="32">
        <f>Table1[[#This Row],[Target]]/Table1[[#This Row],[Price]]</f>
        <v>67.361809045226124</v>
      </c>
      <c r="K339">
        <v>1.99</v>
      </c>
    </row>
    <row r="340" spans="1:11" hidden="1">
      <c r="A340">
        <v>1</v>
      </c>
      <c r="B340" t="s">
        <v>38</v>
      </c>
      <c r="C340">
        <v>2</v>
      </c>
      <c r="D340" t="s">
        <v>52</v>
      </c>
      <c r="E340">
        <v>3</v>
      </c>
      <c r="F340" t="s">
        <v>80</v>
      </c>
      <c r="G340">
        <f>69</f>
        <v>69</v>
      </c>
      <c r="H340" s="33">
        <f>80*1.0225</f>
        <v>81.8</v>
      </c>
      <c r="I340">
        <f>70</f>
        <v>70</v>
      </c>
      <c r="J340" s="32">
        <f>Table1[[#This Row],[Target]]/Table1[[#This Row],[Price]]</f>
        <v>82.62626262626263</v>
      </c>
      <c r="K340">
        <v>0.99</v>
      </c>
    </row>
    <row r="341" spans="1:11" hidden="1">
      <c r="A341">
        <v>1</v>
      </c>
      <c r="B341" t="s">
        <v>38</v>
      </c>
      <c r="C341">
        <v>3</v>
      </c>
      <c r="D341" t="s">
        <v>53</v>
      </c>
      <c r="E341">
        <v>1</v>
      </c>
      <c r="F341" t="s">
        <v>111</v>
      </c>
      <c r="G341">
        <f>564</f>
        <v>564</v>
      </c>
      <c r="H341" s="33">
        <f>550*1.0881-50</f>
        <v>548.45500000000004</v>
      </c>
      <c r="I341">
        <f>87</f>
        <v>87</v>
      </c>
      <c r="J341" s="32">
        <f>Table1[[#This Row],[Target]]/Table1[[#This Row],[Price]]</f>
        <v>84.507704160246533</v>
      </c>
      <c r="K341">
        <v>6.49</v>
      </c>
    </row>
    <row r="342" spans="1:11" hidden="1">
      <c r="A342">
        <v>1</v>
      </c>
      <c r="B342" t="s">
        <v>38</v>
      </c>
      <c r="C342">
        <v>3</v>
      </c>
      <c r="D342" t="s">
        <v>53</v>
      </c>
      <c r="E342">
        <v>2</v>
      </c>
      <c r="F342" t="s">
        <v>112</v>
      </c>
      <c r="G342">
        <f>319</f>
        <v>319</v>
      </c>
      <c r="H342" s="33">
        <f>345*1.0881-50</f>
        <v>325.39450000000005</v>
      </c>
      <c r="I342">
        <f>80</f>
        <v>80</v>
      </c>
      <c r="J342" s="32">
        <f>Table1[[#This Row],[Target]]/Table1[[#This Row],[Price]]</f>
        <v>81.552506265664164</v>
      </c>
      <c r="K342">
        <v>3.99</v>
      </c>
    </row>
    <row r="343" spans="1:11" hidden="1">
      <c r="A343">
        <v>1</v>
      </c>
      <c r="B343" t="s">
        <v>38</v>
      </c>
      <c r="C343">
        <v>3</v>
      </c>
      <c r="D343" t="s">
        <v>53</v>
      </c>
      <c r="E343">
        <v>3</v>
      </c>
      <c r="F343" t="s">
        <v>88</v>
      </c>
      <c r="G343">
        <f>356</f>
        <v>356</v>
      </c>
      <c r="H343" s="33">
        <f>375*1.0881-50</f>
        <v>358.03750000000002</v>
      </c>
      <c r="I343">
        <f>70</f>
        <v>70</v>
      </c>
      <c r="J343" s="32">
        <f>Table1[[#This Row],[Target]]/Table1[[#This Row],[Price]]</f>
        <v>70.341355599214154</v>
      </c>
      <c r="K343">
        <v>5.09</v>
      </c>
    </row>
    <row r="344" spans="1:11" hidden="1">
      <c r="A344">
        <v>1</v>
      </c>
      <c r="B344" t="s">
        <v>39</v>
      </c>
      <c r="C344">
        <v>1</v>
      </c>
      <c r="D344" t="s">
        <v>51</v>
      </c>
      <c r="E344">
        <v>1</v>
      </c>
      <c r="F344" t="s">
        <v>69</v>
      </c>
      <c r="G344">
        <f>322</f>
        <v>322</v>
      </c>
      <c r="H344" s="33">
        <f>300*1.0139</f>
        <v>304.17</v>
      </c>
      <c r="I344">
        <f>180</f>
        <v>180</v>
      </c>
      <c r="J344" s="32">
        <f>Table1[[#This Row],[Target]]/Table1[[#This Row],[Price]]</f>
        <v>169.927374301676</v>
      </c>
      <c r="K344" s="14">
        <v>1.79</v>
      </c>
    </row>
    <row r="345" spans="1:11" hidden="1">
      <c r="A345">
        <v>1</v>
      </c>
      <c r="B345" t="s">
        <v>39</v>
      </c>
      <c r="C345">
        <v>1</v>
      </c>
      <c r="D345" t="s">
        <v>51</v>
      </c>
      <c r="E345">
        <v>2</v>
      </c>
      <c r="F345" t="s">
        <v>121</v>
      </c>
      <c r="G345">
        <f>399</f>
        <v>399</v>
      </c>
      <c r="H345" s="33">
        <f>380*1.0139-50</f>
        <v>335.28199999999998</v>
      </c>
      <c r="I345">
        <f>100</f>
        <v>100</v>
      </c>
      <c r="J345" s="32">
        <f>Table1[[#This Row],[Target]]/Table1[[#This Row],[Price]]</f>
        <v>84.030576441102752</v>
      </c>
      <c r="K345">
        <v>3.99</v>
      </c>
    </row>
    <row r="346" spans="1:11">
      <c r="A346">
        <v>1</v>
      </c>
      <c r="B346" t="s">
        <v>39</v>
      </c>
      <c r="C346">
        <v>1</v>
      </c>
      <c r="D346" t="s">
        <v>51</v>
      </c>
      <c r="E346">
        <v>3</v>
      </c>
      <c r="F346" t="s">
        <v>122</v>
      </c>
      <c r="G346">
        <f>143</f>
        <v>143</v>
      </c>
      <c r="H346" s="33">
        <f>170*1.0139</f>
        <v>172.363</v>
      </c>
      <c r="I346">
        <f>85</f>
        <v>85</v>
      </c>
      <c r="J346" s="32">
        <f>Table1[[#This Row],[Target]]/Table1[[#This Row],[Price]]</f>
        <v>101.98994082840237</v>
      </c>
      <c r="K346">
        <v>1.69</v>
      </c>
    </row>
    <row r="347" spans="1:11" hidden="1">
      <c r="A347">
        <v>1</v>
      </c>
      <c r="B347" t="s">
        <v>39</v>
      </c>
      <c r="C347">
        <v>2</v>
      </c>
      <c r="D347" t="s">
        <v>52</v>
      </c>
      <c r="E347">
        <v>1</v>
      </c>
      <c r="F347" t="s">
        <v>78</v>
      </c>
      <c r="G347">
        <f>539</f>
        <v>539</v>
      </c>
      <c r="H347" s="33">
        <f>525*1.157-50</f>
        <v>557.42500000000007</v>
      </c>
      <c r="I347">
        <f>90</f>
        <v>90</v>
      </c>
      <c r="J347" s="32">
        <f>Table1[[#This Row],[Target]]/Table1[[#This Row],[Price]]</f>
        <v>93.059265442404012</v>
      </c>
      <c r="K347">
        <v>5.99</v>
      </c>
    </row>
    <row r="348" spans="1:11" hidden="1">
      <c r="A348">
        <v>1</v>
      </c>
      <c r="B348" t="s">
        <v>39</v>
      </c>
      <c r="C348">
        <v>2</v>
      </c>
      <c r="D348" t="s">
        <v>52</v>
      </c>
      <c r="E348">
        <v>2</v>
      </c>
      <c r="F348" t="s">
        <v>79</v>
      </c>
      <c r="G348">
        <f>169</f>
        <v>169</v>
      </c>
      <c r="H348" s="33">
        <f>180*1.157-50</f>
        <v>158.26</v>
      </c>
      <c r="I348">
        <f>85</f>
        <v>85</v>
      </c>
      <c r="J348" s="32">
        <f>Table1[[#This Row],[Target]]/Table1[[#This Row],[Price]]</f>
        <v>79.527638190954775</v>
      </c>
      <c r="K348">
        <v>1.99</v>
      </c>
    </row>
    <row r="349" spans="1:11" hidden="1">
      <c r="A349">
        <v>1</v>
      </c>
      <c r="B349" t="s">
        <v>39</v>
      </c>
      <c r="C349">
        <v>2</v>
      </c>
      <c r="D349" t="s">
        <v>52</v>
      </c>
      <c r="E349">
        <v>3</v>
      </c>
      <c r="F349" t="s">
        <v>80</v>
      </c>
      <c r="G349">
        <f>69</f>
        <v>69</v>
      </c>
      <c r="H349" s="33">
        <f>80*1.157</f>
        <v>92.56</v>
      </c>
      <c r="I349">
        <f>70</f>
        <v>70</v>
      </c>
      <c r="J349" s="32">
        <f>Table1[[#This Row],[Target]]/Table1[[#This Row],[Price]]</f>
        <v>93.494949494949495</v>
      </c>
      <c r="K349">
        <v>0.99</v>
      </c>
    </row>
    <row r="350" spans="1:11" hidden="1">
      <c r="A350">
        <v>1</v>
      </c>
      <c r="B350" t="s">
        <v>39</v>
      </c>
      <c r="C350">
        <v>3</v>
      </c>
      <c r="D350" t="s">
        <v>53</v>
      </c>
      <c r="E350">
        <v>1</v>
      </c>
      <c r="F350" t="s">
        <v>111</v>
      </c>
      <c r="G350">
        <f>564</f>
        <v>564</v>
      </c>
      <c r="H350" s="33">
        <f>550*1.1875-50-50-50</f>
        <v>503.125</v>
      </c>
      <c r="I350">
        <f>87</f>
        <v>87</v>
      </c>
      <c r="J350" s="32">
        <f>Table1[[#This Row],[Target]]/Table1[[#This Row],[Price]]</f>
        <v>77.523112480739599</v>
      </c>
      <c r="K350">
        <v>6.49</v>
      </c>
    </row>
    <row r="351" spans="1:11" hidden="1">
      <c r="A351">
        <v>1</v>
      </c>
      <c r="B351" t="s">
        <v>39</v>
      </c>
      <c r="C351">
        <v>3</v>
      </c>
      <c r="D351" t="s">
        <v>53</v>
      </c>
      <c r="E351">
        <v>2</v>
      </c>
      <c r="F351" t="s">
        <v>112</v>
      </c>
      <c r="G351">
        <f>319</f>
        <v>319</v>
      </c>
      <c r="H351" s="33">
        <f>345*1.1875</f>
        <v>409.6875</v>
      </c>
      <c r="I351">
        <f>80</f>
        <v>80</v>
      </c>
      <c r="J351" s="32">
        <f>Table1[[#This Row],[Target]]/Table1[[#This Row],[Price]]</f>
        <v>102.67857142857142</v>
      </c>
      <c r="K351">
        <v>3.99</v>
      </c>
    </row>
    <row r="352" spans="1:11" hidden="1">
      <c r="A352">
        <v>1</v>
      </c>
      <c r="B352" t="s">
        <v>39</v>
      </c>
      <c r="C352">
        <v>3</v>
      </c>
      <c r="D352" t="s">
        <v>53</v>
      </c>
      <c r="E352">
        <v>3</v>
      </c>
      <c r="F352" t="s">
        <v>88</v>
      </c>
      <c r="G352">
        <f>356</f>
        <v>356</v>
      </c>
      <c r="H352" s="33">
        <f>375*1.1875-50-50</f>
        <v>345.3125</v>
      </c>
      <c r="I352">
        <f>70</f>
        <v>70</v>
      </c>
      <c r="J352" s="32">
        <f>Table1[[#This Row],[Target]]/Table1[[#This Row],[Price]]</f>
        <v>67.841355599214154</v>
      </c>
      <c r="K352">
        <v>5.09</v>
      </c>
    </row>
    <row r="353" spans="1:11" hidden="1">
      <c r="A353">
        <v>1</v>
      </c>
      <c r="B353" t="s">
        <v>40</v>
      </c>
      <c r="C353">
        <v>1</v>
      </c>
      <c r="D353" t="s">
        <v>51</v>
      </c>
      <c r="E353">
        <v>1</v>
      </c>
      <c r="F353" t="s">
        <v>69</v>
      </c>
      <c r="G353">
        <f>322</f>
        <v>322</v>
      </c>
      <c r="H353" s="33">
        <f>300*0.816</f>
        <v>244.79999999999998</v>
      </c>
      <c r="I353">
        <f>180</f>
        <v>180</v>
      </c>
      <c r="J353" s="32">
        <f>Table1[[#This Row],[Target]]/Table1[[#This Row],[Price]]</f>
        <v>136.75977653631284</v>
      </c>
      <c r="K353" s="14">
        <v>1.79</v>
      </c>
    </row>
    <row r="354" spans="1:11" hidden="1">
      <c r="A354">
        <v>1</v>
      </c>
      <c r="B354" t="s">
        <v>40</v>
      </c>
      <c r="C354">
        <v>1</v>
      </c>
      <c r="D354" t="s">
        <v>51</v>
      </c>
      <c r="E354">
        <v>2</v>
      </c>
      <c r="F354" t="s">
        <v>121</v>
      </c>
      <c r="G354">
        <f>399</f>
        <v>399</v>
      </c>
      <c r="H354" s="33">
        <f>380*0.816</f>
        <v>310.08</v>
      </c>
      <c r="I354">
        <f>100</f>
        <v>100</v>
      </c>
      <c r="J354" s="32">
        <f>Table1[[#This Row],[Target]]/Table1[[#This Row],[Price]]</f>
        <v>77.714285714285708</v>
      </c>
      <c r="K354">
        <v>3.99</v>
      </c>
    </row>
    <row r="355" spans="1:11">
      <c r="A355">
        <v>1</v>
      </c>
      <c r="B355" t="s">
        <v>40</v>
      </c>
      <c r="C355">
        <v>1</v>
      </c>
      <c r="D355" t="s">
        <v>51</v>
      </c>
      <c r="E355">
        <v>3</v>
      </c>
      <c r="F355" t="s">
        <v>122</v>
      </c>
      <c r="G355">
        <f>143</f>
        <v>143</v>
      </c>
      <c r="H355" s="33">
        <f>170*0.816</f>
        <v>138.72</v>
      </c>
      <c r="I355">
        <f>85</f>
        <v>85</v>
      </c>
      <c r="J355" s="32">
        <f>Table1[[#This Row],[Target]]/Table1[[#This Row],[Price]]</f>
        <v>82.082840236686394</v>
      </c>
      <c r="K355">
        <v>1.69</v>
      </c>
    </row>
    <row r="356" spans="1:11" hidden="1">
      <c r="A356">
        <v>1</v>
      </c>
      <c r="B356" t="s">
        <v>40</v>
      </c>
      <c r="C356">
        <v>2</v>
      </c>
      <c r="D356" t="s">
        <v>52</v>
      </c>
      <c r="E356">
        <v>1</v>
      </c>
      <c r="F356" t="s">
        <v>78</v>
      </c>
      <c r="G356">
        <f>539</f>
        <v>539</v>
      </c>
      <c r="H356" s="33">
        <f>525*1.105-50-50</f>
        <v>480.125</v>
      </c>
      <c r="I356">
        <f>90</f>
        <v>90</v>
      </c>
      <c r="J356" s="32">
        <f>Table1[[#This Row],[Target]]/Table1[[#This Row],[Price]]</f>
        <v>80.154424040066772</v>
      </c>
      <c r="K356">
        <v>5.99</v>
      </c>
    </row>
    <row r="357" spans="1:11" hidden="1">
      <c r="A357">
        <v>1</v>
      </c>
      <c r="B357" t="s">
        <v>40</v>
      </c>
      <c r="C357">
        <v>2</v>
      </c>
      <c r="D357" t="s">
        <v>52</v>
      </c>
      <c r="E357">
        <v>2</v>
      </c>
      <c r="F357" t="s">
        <v>79</v>
      </c>
      <c r="G357">
        <f>169</f>
        <v>169</v>
      </c>
      <c r="H357" s="33">
        <f>180*1.105-50</f>
        <v>148.9</v>
      </c>
      <c r="I357">
        <f>85</f>
        <v>85</v>
      </c>
      <c r="J357" s="32">
        <f>Table1[[#This Row],[Target]]/Table1[[#This Row],[Price]]</f>
        <v>74.824120603015075</v>
      </c>
      <c r="K357">
        <v>1.99</v>
      </c>
    </row>
    <row r="358" spans="1:11" hidden="1">
      <c r="A358">
        <v>1</v>
      </c>
      <c r="B358" t="s">
        <v>40</v>
      </c>
      <c r="C358">
        <v>2</v>
      </c>
      <c r="D358" t="s">
        <v>52</v>
      </c>
      <c r="E358">
        <v>3</v>
      </c>
      <c r="F358" t="s">
        <v>80</v>
      </c>
      <c r="G358">
        <f>69</f>
        <v>69</v>
      </c>
      <c r="H358" s="33">
        <f>80*1.105</f>
        <v>88.4</v>
      </c>
      <c r="I358">
        <f>70</f>
        <v>70</v>
      </c>
      <c r="J358" s="32">
        <f>Table1[[#This Row],[Target]]/Table1[[#This Row],[Price]]</f>
        <v>89.292929292929301</v>
      </c>
      <c r="K358">
        <v>0.99</v>
      </c>
    </row>
    <row r="359" spans="1:11" hidden="1">
      <c r="A359">
        <v>1</v>
      </c>
      <c r="B359" t="s">
        <v>40</v>
      </c>
      <c r="C359">
        <v>3</v>
      </c>
      <c r="D359" t="s">
        <v>53</v>
      </c>
      <c r="E359">
        <v>1</v>
      </c>
      <c r="F359" t="s">
        <v>111</v>
      </c>
      <c r="G359">
        <f>564</f>
        <v>564</v>
      </c>
      <c r="H359" s="33">
        <f>550*1.04</f>
        <v>572</v>
      </c>
      <c r="I359">
        <f>87</f>
        <v>87</v>
      </c>
      <c r="J359" s="32">
        <f>Table1[[#This Row],[Target]]/Table1[[#This Row],[Price]]</f>
        <v>88.135593220338976</v>
      </c>
      <c r="K359">
        <v>6.49</v>
      </c>
    </row>
    <row r="360" spans="1:11" hidden="1">
      <c r="A360">
        <v>1</v>
      </c>
      <c r="B360" t="s">
        <v>40</v>
      </c>
      <c r="C360">
        <v>3</v>
      </c>
      <c r="D360" t="s">
        <v>53</v>
      </c>
      <c r="E360">
        <v>2</v>
      </c>
      <c r="F360" t="s">
        <v>112</v>
      </c>
      <c r="G360">
        <f>319</f>
        <v>319</v>
      </c>
      <c r="H360" s="33">
        <f>345*1.04-50</f>
        <v>308.8</v>
      </c>
      <c r="I360">
        <f>80</f>
        <v>80</v>
      </c>
      <c r="J360" s="32">
        <f>Table1[[#This Row],[Target]]/Table1[[#This Row],[Price]]</f>
        <v>77.393483709273184</v>
      </c>
      <c r="K360">
        <v>3.99</v>
      </c>
    </row>
    <row r="361" spans="1:11" hidden="1">
      <c r="A361">
        <v>1</v>
      </c>
      <c r="B361" t="s">
        <v>40</v>
      </c>
      <c r="C361">
        <v>3</v>
      </c>
      <c r="D361" t="s">
        <v>53</v>
      </c>
      <c r="E361">
        <v>3</v>
      </c>
      <c r="F361" t="s">
        <v>88</v>
      </c>
      <c r="G361">
        <f>356</f>
        <v>356</v>
      </c>
      <c r="H361" s="33">
        <f>375*1.04</f>
        <v>390</v>
      </c>
      <c r="I361">
        <f>70</f>
        <v>70</v>
      </c>
      <c r="J361" s="32">
        <f>Table1[[#This Row],[Target]]/Table1[[#This Row],[Price]]</f>
        <v>76.620825147347745</v>
      </c>
      <c r="K361">
        <v>5.09</v>
      </c>
    </row>
    <row r="362" spans="1:11" hidden="1">
      <c r="A362">
        <v>1</v>
      </c>
      <c r="B362" t="s">
        <v>41</v>
      </c>
      <c r="C362">
        <v>1</v>
      </c>
      <c r="D362" t="s">
        <v>51</v>
      </c>
      <c r="E362">
        <v>1</v>
      </c>
      <c r="F362" t="s">
        <v>69</v>
      </c>
      <c r="G362">
        <f>322</f>
        <v>322</v>
      </c>
      <c r="H362" s="33">
        <f>300*1.0113</f>
        <v>303.39000000000004</v>
      </c>
      <c r="I362">
        <f>180</f>
        <v>180</v>
      </c>
      <c r="J362" s="32">
        <f>Table1[[#This Row],[Target]]/Table1[[#This Row],[Price]]</f>
        <v>169.49162011173186</v>
      </c>
      <c r="K362" s="14">
        <v>1.79</v>
      </c>
    </row>
    <row r="363" spans="1:11" hidden="1">
      <c r="A363">
        <v>1</v>
      </c>
      <c r="B363" t="s">
        <v>41</v>
      </c>
      <c r="C363">
        <v>1</v>
      </c>
      <c r="D363" t="s">
        <v>51</v>
      </c>
      <c r="E363">
        <v>2</v>
      </c>
      <c r="F363" t="s">
        <v>121</v>
      </c>
      <c r="G363">
        <f>399</f>
        <v>399</v>
      </c>
      <c r="H363" s="33">
        <f>380*1.0113</f>
        <v>384.29400000000004</v>
      </c>
      <c r="I363">
        <f>100</f>
        <v>100</v>
      </c>
      <c r="J363" s="32">
        <f>Table1[[#This Row],[Target]]/Table1[[#This Row],[Price]]</f>
        <v>96.314285714285717</v>
      </c>
      <c r="K363">
        <v>3.99</v>
      </c>
    </row>
    <row r="364" spans="1:11">
      <c r="A364">
        <v>1</v>
      </c>
      <c r="B364" t="s">
        <v>41</v>
      </c>
      <c r="C364">
        <v>1</v>
      </c>
      <c r="D364" t="s">
        <v>51</v>
      </c>
      <c r="E364">
        <v>3</v>
      </c>
      <c r="F364" t="s">
        <v>122</v>
      </c>
      <c r="G364">
        <f>143</f>
        <v>143</v>
      </c>
      <c r="H364" s="33">
        <f>170*1.0113-50</f>
        <v>121.92100000000002</v>
      </c>
      <c r="I364">
        <f>85</f>
        <v>85</v>
      </c>
      <c r="J364" s="32">
        <f>Table1[[#This Row],[Target]]/Table1[[#This Row],[Price]]</f>
        <v>72.142603550295874</v>
      </c>
      <c r="K364">
        <v>1.69</v>
      </c>
    </row>
    <row r="365" spans="1:11" hidden="1">
      <c r="A365">
        <v>1</v>
      </c>
      <c r="B365" t="s">
        <v>41</v>
      </c>
      <c r="C365">
        <v>2</v>
      </c>
      <c r="D365" t="s">
        <v>52</v>
      </c>
      <c r="E365">
        <v>1</v>
      </c>
      <c r="F365" t="s">
        <v>78</v>
      </c>
      <c r="G365">
        <f>539</f>
        <v>539</v>
      </c>
      <c r="H365" s="33">
        <f>525*1.08-50</f>
        <v>517</v>
      </c>
      <c r="I365">
        <f>90</f>
        <v>90</v>
      </c>
      <c r="J365" s="32">
        <f>Table1[[#This Row],[Target]]/Table1[[#This Row],[Price]]</f>
        <v>86.31051752921536</v>
      </c>
      <c r="K365">
        <v>5.99</v>
      </c>
    </row>
    <row r="366" spans="1:11" hidden="1">
      <c r="A366">
        <v>1</v>
      </c>
      <c r="B366" t="s">
        <v>41</v>
      </c>
      <c r="C366">
        <v>2</v>
      </c>
      <c r="D366" t="s">
        <v>52</v>
      </c>
      <c r="E366">
        <v>2</v>
      </c>
      <c r="F366" t="s">
        <v>79</v>
      </c>
      <c r="G366">
        <f>169</f>
        <v>169</v>
      </c>
      <c r="H366" s="33">
        <f>180*1.08</f>
        <v>194.4</v>
      </c>
      <c r="I366">
        <f>85</f>
        <v>85</v>
      </c>
      <c r="J366" s="32">
        <f>Table1[[#This Row],[Target]]/Table1[[#This Row],[Price]]</f>
        <v>97.688442211055275</v>
      </c>
      <c r="K366">
        <v>1.99</v>
      </c>
    </row>
    <row r="367" spans="1:11" hidden="1">
      <c r="A367">
        <v>1</v>
      </c>
      <c r="B367" t="s">
        <v>41</v>
      </c>
      <c r="C367">
        <v>2</v>
      </c>
      <c r="D367" t="s">
        <v>52</v>
      </c>
      <c r="E367">
        <v>3</v>
      </c>
      <c r="F367" t="s">
        <v>80</v>
      </c>
      <c r="G367">
        <f>69</f>
        <v>69</v>
      </c>
      <c r="H367" s="33">
        <f>80*1.08</f>
        <v>86.4</v>
      </c>
      <c r="I367">
        <f>70</f>
        <v>70</v>
      </c>
      <c r="J367" s="32">
        <f>Table1[[#This Row],[Target]]/Table1[[#This Row],[Price]]</f>
        <v>87.27272727272728</v>
      </c>
      <c r="K367">
        <v>0.99</v>
      </c>
    </row>
    <row r="368" spans="1:11" hidden="1">
      <c r="A368">
        <v>1</v>
      </c>
      <c r="B368" t="s">
        <v>41</v>
      </c>
      <c r="C368">
        <v>3</v>
      </c>
      <c r="D368" t="s">
        <v>53</v>
      </c>
      <c r="E368">
        <v>1</v>
      </c>
      <c r="F368" t="s">
        <v>111</v>
      </c>
      <c r="G368">
        <f>564</f>
        <v>564</v>
      </c>
      <c r="H368" s="33">
        <f>550*1.187</f>
        <v>652.85</v>
      </c>
      <c r="I368">
        <f>87</f>
        <v>87</v>
      </c>
      <c r="J368" s="32">
        <f>Table1[[#This Row],[Target]]/Table1[[#This Row],[Price]]</f>
        <v>100.59322033898304</v>
      </c>
      <c r="K368">
        <v>6.49</v>
      </c>
    </row>
    <row r="369" spans="1:11" hidden="1">
      <c r="A369">
        <v>1</v>
      </c>
      <c r="B369" t="s">
        <v>41</v>
      </c>
      <c r="C369">
        <v>3</v>
      </c>
      <c r="D369" t="s">
        <v>53</v>
      </c>
      <c r="E369">
        <v>2</v>
      </c>
      <c r="F369" t="s">
        <v>112</v>
      </c>
      <c r="G369">
        <f>319</f>
        <v>319</v>
      </c>
      <c r="H369" s="33">
        <f>345*1.187</f>
        <v>409.51500000000004</v>
      </c>
      <c r="I369">
        <f>80</f>
        <v>80</v>
      </c>
      <c r="J369" s="32">
        <f>Table1[[#This Row],[Target]]/Table1[[#This Row],[Price]]</f>
        <v>102.63533834586467</v>
      </c>
      <c r="K369">
        <v>3.99</v>
      </c>
    </row>
    <row r="370" spans="1:11" hidden="1">
      <c r="A370">
        <v>1</v>
      </c>
      <c r="B370" t="s">
        <v>41</v>
      </c>
      <c r="C370">
        <v>3</v>
      </c>
      <c r="D370" t="s">
        <v>53</v>
      </c>
      <c r="E370">
        <v>3</v>
      </c>
      <c r="F370" t="s">
        <v>88</v>
      </c>
      <c r="G370">
        <f>356</f>
        <v>356</v>
      </c>
      <c r="H370" s="33">
        <f>375*1.187-50-50-50</f>
        <v>295.125</v>
      </c>
      <c r="I370">
        <f>70</f>
        <v>70</v>
      </c>
      <c r="J370" s="32">
        <f>Table1[[#This Row],[Target]]/Table1[[#This Row],[Price]]</f>
        <v>57.981335952848724</v>
      </c>
      <c r="K370">
        <v>5.09</v>
      </c>
    </row>
    <row r="371" spans="1:11" hidden="1">
      <c r="A371">
        <v>1</v>
      </c>
      <c r="B371" t="s">
        <v>42</v>
      </c>
      <c r="C371">
        <v>1</v>
      </c>
      <c r="D371" t="s">
        <v>51</v>
      </c>
      <c r="E371">
        <v>1</v>
      </c>
      <c r="F371" t="s">
        <v>69</v>
      </c>
      <c r="G371">
        <f>322</f>
        <v>322</v>
      </c>
      <c r="H371" s="33">
        <f>300*1.0243</f>
        <v>307.29000000000002</v>
      </c>
      <c r="I371">
        <f>180</f>
        <v>180</v>
      </c>
      <c r="J371" s="32">
        <f>Table1[[#This Row],[Target]]/Table1[[#This Row],[Price]]</f>
        <v>171.67039106145253</v>
      </c>
      <c r="K371" s="14">
        <v>1.79</v>
      </c>
    </row>
    <row r="372" spans="1:11" hidden="1">
      <c r="A372">
        <v>1</v>
      </c>
      <c r="B372" t="s">
        <v>42</v>
      </c>
      <c r="C372">
        <v>1</v>
      </c>
      <c r="D372" t="s">
        <v>51</v>
      </c>
      <c r="E372">
        <v>2</v>
      </c>
      <c r="F372" t="s">
        <v>121</v>
      </c>
      <c r="G372">
        <f>399</f>
        <v>399</v>
      </c>
      <c r="H372" s="33">
        <f>380*1.0243-50</f>
        <v>339.23399999999998</v>
      </c>
      <c r="I372">
        <f>100</f>
        <v>100</v>
      </c>
      <c r="J372" s="32">
        <f>Table1[[#This Row],[Target]]/Table1[[#This Row],[Price]]</f>
        <v>85.021052631578939</v>
      </c>
      <c r="K372">
        <v>3.99</v>
      </c>
    </row>
    <row r="373" spans="1:11">
      <c r="A373">
        <v>1</v>
      </c>
      <c r="B373" t="s">
        <v>42</v>
      </c>
      <c r="C373">
        <v>1</v>
      </c>
      <c r="D373" t="s">
        <v>51</v>
      </c>
      <c r="E373">
        <v>3</v>
      </c>
      <c r="F373" t="s">
        <v>122</v>
      </c>
      <c r="G373">
        <f>143</f>
        <v>143</v>
      </c>
      <c r="H373" s="33">
        <f>170*1.0243</f>
        <v>174.131</v>
      </c>
      <c r="I373">
        <f>85</f>
        <v>85</v>
      </c>
      <c r="J373" s="32">
        <f>Table1[[#This Row],[Target]]/Table1[[#This Row],[Price]]</f>
        <v>103.03609467455621</v>
      </c>
      <c r="K373">
        <v>1.69</v>
      </c>
    </row>
    <row r="374" spans="1:11" hidden="1">
      <c r="A374">
        <v>1</v>
      </c>
      <c r="B374" t="s">
        <v>42</v>
      </c>
      <c r="C374">
        <v>2</v>
      </c>
      <c r="D374" t="s">
        <v>52</v>
      </c>
      <c r="E374">
        <v>1</v>
      </c>
      <c r="F374" t="s">
        <v>78</v>
      </c>
      <c r="G374">
        <f>539</f>
        <v>539</v>
      </c>
      <c r="H374" s="33">
        <f>525*1.157-50-50</f>
        <v>507.42500000000007</v>
      </c>
      <c r="I374">
        <f>90</f>
        <v>90</v>
      </c>
      <c r="J374" s="32">
        <f>Table1[[#This Row],[Target]]/Table1[[#This Row],[Price]]</f>
        <v>84.712020033388995</v>
      </c>
      <c r="K374">
        <v>5.99</v>
      </c>
    </row>
    <row r="375" spans="1:11" hidden="1">
      <c r="A375">
        <v>1</v>
      </c>
      <c r="B375" t="s">
        <v>42</v>
      </c>
      <c r="C375">
        <v>2</v>
      </c>
      <c r="D375" t="s">
        <v>52</v>
      </c>
      <c r="E375">
        <v>2</v>
      </c>
      <c r="F375" t="s">
        <v>79</v>
      </c>
      <c r="G375">
        <f>169</f>
        <v>169</v>
      </c>
      <c r="H375" s="33">
        <f>180*1.157-50</f>
        <v>158.26</v>
      </c>
      <c r="I375">
        <f>85</f>
        <v>85</v>
      </c>
      <c r="J375" s="32">
        <f>Table1[[#This Row],[Target]]/Table1[[#This Row],[Price]]</f>
        <v>79.527638190954775</v>
      </c>
      <c r="K375">
        <v>1.99</v>
      </c>
    </row>
    <row r="376" spans="1:11" hidden="1">
      <c r="A376">
        <v>1</v>
      </c>
      <c r="B376" t="s">
        <v>42</v>
      </c>
      <c r="C376">
        <v>2</v>
      </c>
      <c r="D376" t="s">
        <v>52</v>
      </c>
      <c r="E376">
        <v>3</v>
      </c>
      <c r="F376" t="s">
        <v>80</v>
      </c>
      <c r="G376">
        <f>69</f>
        <v>69</v>
      </c>
      <c r="H376" s="33">
        <f>80*1.157</f>
        <v>92.56</v>
      </c>
      <c r="I376">
        <f>70</f>
        <v>70</v>
      </c>
      <c r="J376" s="32">
        <f>Table1[[#This Row],[Target]]/Table1[[#This Row],[Price]]</f>
        <v>93.494949494949495</v>
      </c>
      <c r="K376">
        <v>0.99</v>
      </c>
    </row>
    <row r="377" spans="1:11" hidden="1">
      <c r="A377">
        <v>1</v>
      </c>
      <c r="B377" t="s">
        <v>42</v>
      </c>
      <c r="C377">
        <v>3</v>
      </c>
      <c r="D377" t="s">
        <v>53</v>
      </c>
      <c r="E377">
        <v>1</v>
      </c>
      <c r="F377" t="s">
        <v>111</v>
      </c>
      <c r="G377">
        <f>564</f>
        <v>564</v>
      </c>
      <c r="H377" s="33">
        <f>550*1.0243-50</f>
        <v>513.36500000000001</v>
      </c>
      <c r="I377">
        <f>87</f>
        <v>87</v>
      </c>
      <c r="J377" s="32">
        <f>Table1[[#This Row],[Target]]/Table1[[#This Row],[Price]]</f>
        <v>79.100924499229578</v>
      </c>
      <c r="K377">
        <v>6.49</v>
      </c>
    </row>
    <row r="378" spans="1:11" hidden="1">
      <c r="A378">
        <v>1</v>
      </c>
      <c r="B378" t="s">
        <v>42</v>
      </c>
      <c r="C378">
        <v>3</v>
      </c>
      <c r="D378" t="s">
        <v>53</v>
      </c>
      <c r="E378">
        <v>2</v>
      </c>
      <c r="F378" t="s">
        <v>112</v>
      </c>
      <c r="G378">
        <f>319</f>
        <v>319</v>
      </c>
      <c r="H378" s="33">
        <f>345*1.0243</f>
        <v>353.38349999999997</v>
      </c>
      <c r="I378">
        <f>80</f>
        <v>80</v>
      </c>
      <c r="J378" s="32">
        <f>Table1[[#This Row],[Target]]/Table1[[#This Row],[Price]]</f>
        <v>88.567293233082694</v>
      </c>
      <c r="K378">
        <v>3.99</v>
      </c>
    </row>
    <row r="379" spans="1:11" hidden="1">
      <c r="A379">
        <v>1</v>
      </c>
      <c r="B379" t="s">
        <v>42</v>
      </c>
      <c r="C379">
        <v>3</v>
      </c>
      <c r="D379" t="s">
        <v>53</v>
      </c>
      <c r="E379">
        <v>3</v>
      </c>
      <c r="F379" t="s">
        <v>88</v>
      </c>
      <c r="G379">
        <f>356</f>
        <v>356</v>
      </c>
      <c r="H379" s="33">
        <f>375*1.0243-50-50</f>
        <v>284.11250000000001</v>
      </c>
      <c r="I379">
        <f>70</f>
        <v>70</v>
      </c>
      <c r="J379" s="32">
        <f>Table1[[#This Row],[Target]]/Table1[[#This Row],[Price]]</f>
        <v>55.81777996070727</v>
      </c>
      <c r="K379">
        <v>5.09</v>
      </c>
    </row>
    <row r="380" spans="1:11" hidden="1">
      <c r="A380">
        <v>1</v>
      </c>
      <c r="B380" t="s">
        <v>43</v>
      </c>
      <c r="C380">
        <v>1</v>
      </c>
      <c r="D380" t="s">
        <v>51</v>
      </c>
      <c r="E380">
        <v>1</v>
      </c>
      <c r="F380" t="s">
        <v>69</v>
      </c>
      <c r="G380">
        <f>322</f>
        <v>322</v>
      </c>
      <c r="H380" s="33">
        <f>300*1.0387</f>
        <v>311.61</v>
      </c>
      <c r="I380">
        <f>180</f>
        <v>180</v>
      </c>
      <c r="J380" s="32">
        <f>Table1[[#This Row],[Target]]/Table1[[#This Row],[Price]]</f>
        <v>174.08379888268158</v>
      </c>
      <c r="K380" s="14">
        <v>1.79</v>
      </c>
    </row>
    <row r="381" spans="1:11" hidden="1">
      <c r="A381">
        <v>1</v>
      </c>
      <c r="B381" t="s">
        <v>43</v>
      </c>
      <c r="C381">
        <v>1</v>
      </c>
      <c r="D381" t="s">
        <v>51</v>
      </c>
      <c r="E381">
        <v>2</v>
      </c>
      <c r="F381" t="s">
        <v>121</v>
      </c>
      <c r="G381">
        <f>399</f>
        <v>399</v>
      </c>
      <c r="H381" s="33">
        <f>380*1.0387-50</f>
        <v>344.70599999999996</v>
      </c>
      <c r="I381">
        <f>100</f>
        <v>100</v>
      </c>
      <c r="J381" s="32">
        <f>Table1[[#This Row],[Target]]/Table1[[#This Row],[Price]]</f>
        <v>86.392481203007506</v>
      </c>
      <c r="K381">
        <v>3.99</v>
      </c>
    </row>
    <row r="382" spans="1:11">
      <c r="A382">
        <v>1</v>
      </c>
      <c r="B382" t="s">
        <v>43</v>
      </c>
      <c r="C382">
        <v>1</v>
      </c>
      <c r="D382" t="s">
        <v>51</v>
      </c>
      <c r="E382">
        <v>3</v>
      </c>
      <c r="F382" t="s">
        <v>122</v>
      </c>
      <c r="G382">
        <f>143</f>
        <v>143</v>
      </c>
      <c r="H382" s="33">
        <f>170*1.0387-50</f>
        <v>126.57899999999998</v>
      </c>
      <c r="I382">
        <f>85</f>
        <v>85</v>
      </c>
      <c r="J382" s="32">
        <f>Table1[[#This Row],[Target]]/Table1[[#This Row],[Price]]</f>
        <v>74.898816568047323</v>
      </c>
      <c r="K382">
        <v>1.69</v>
      </c>
    </row>
    <row r="383" spans="1:11" hidden="1">
      <c r="A383">
        <v>1</v>
      </c>
      <c r="B383" t="s">
        <v>43</v>
      </c>
      <c r="C383">
        <v>2</v>
      </c>
      <c r="D383" t="s">
        <v>52</v>
      </c>
      <c r="E383">
        <v>1</v>
      </c>
      <c r="F383" t="s">
        <v>78</v>
      </c>
      <c r="G383">
        <f>539</f>
        <v>539</v>
      </c>
      <c r="H383" s="33">
        <f>525*1.0342-50</f>
        <v>492.95500000000004</v>
      </c>
      <c r="I383">
        <f>90</f>
        <v>90</v>
      </c>
      <c r="J383" s="32">
        <f>Table1[[#This Row],[Target]]/Table1[[#This Row],[Price]]</f>
        <v>82.296327212020032</v>
      </c>
      <c r="K383">
        <v>5.99</v>
      </c>
    </row>
    <row r="384" spans="1:11" hidden="1">
      <c r="A384">
        <v>1</v>
      </c>
      <c r="B384" t="s">
        <v>43</v>
      </c>
      <c r="C384">
        <v>2</v>
      </c>
      <c r="D384" t="s">
        <v>52</v>
      </c>
      <c r="E384">
        <v>2</v>
      </c>
      <c r="F384" t="s">
        <v>79</v>
      </c>
      <c r="G384">
        <f>169</f>
        <v>169</v>
      </c>
      <c r="H384" s="33">
        <f>180*1.0342-50</f>
        <v>136.15600000000001</v>
      </c>
      <c r="I384">
        <f>85</f>
        <v>85</v>
      </c>
      <c r="J384" s="32">
        <f>Table1[[#This Row],[Target]]/Table1[[#This Row],[Price]]</f>
        <v>68.420100502512568</v>
      </c>
      <c r="K384">
        <v>1.99</v>
      </c>
    </row>
    <row r="385" spans="1:11" hidden="1">
      <c r="A385">
        <v>1</v>
      </c>
      <c r="B385" t="s">
        <v>43</v>
      </c>
      <c r="C385">
        <v>2</v>
      </c>
      <c r="D385" t="s">
        <v>52</v>
      </c>
      <c r="E385">
        <v>3</v>
      </c>
      <c r="F385" t="s">
        <v>80</v>
      </c>
      <c r="G385">
        <f>69</f>
        <v>69</v>
      </c>
      <c r="H385" s="33">
        <f>80*1.0342</f>
        <v>82.736000000000004</v>
      </c>
      <c r="I385">
        <f>70</f>
        <v>70</v>
      </c>
      <c r="J385" s="32">
        <f>Table1[[#This Row],[Target]]/Table1[[#This Row],[Price]]</f>
        <v>83.571717171717182</v>
      </c>
      <c r="K385">
        <v>0.99</v>
      </c>
    </row>
    <row r="386" spans="1:11" hidden="1">
      <c r="A386">
        <v>1</v>
      </c>
      <c r="B386" t="s">
        <v>43</v>
      </c>
      <c r="C386">
        <v>3</v>
      </c>
      <c r="D386" t="s">
        <v>53</v>
      </c>
      <c r="E386">
        <v>1</v>
      </c>
      <c r="F386" t="s">
        <v>111</v>
      </c>
      <c r="G386">
        <f>564</f>
        <v>564</v>
      </c>
      <c r="H386" s="33">
        <f>550*1.0694</f>
        <v>588.16999999999996</v>
      </c>
      <c r="I386">
        <f>87</f>
        <v>87</v>
      </c>
      <c r="J386" s="32">
        <f>Table1[[#This Row],[Target]]/Table1[[#This Row],[Price]]</f>
        <v>90.627118644067792</v>
      </c>
      <c r="K386">
        <v>6.49</v>
      </c>
    </row>
    <row r="387" spans="1:11" hidden="1">
      <c r="A387">
        <v>1</v>
      </c>
      <c r="B387" t="s">
        <v>43</v>
      </c>
      <c r="C387">
        <v>3</v>
      </c>
      <c r="D387" t="s">
        <v>53</v>
      </c>
      <c r="E387">
        <v>2</v>
      </c>
      <c r="F387" t="s">
        <v>112</v>
      </c>
      <c r="G387">
        <f>319</f>
        <v>319</v>
      </c>
      <c r="H387" s="33">
        <f>345*1.0694-50-50</f>
        <v>268.94299999999998</v>
      </c>
      <c r="I387">
        <f>80</f>
        <v>80</v>
      </c>
      <c r="J387" s="32">
        <f>Table1[[#This Row],[Target]]/Table1[[#This Row],[Price]]</f>
        <v>67.404260651629059</v>
      </c>
      <c r="K387">
        <v>3.99</v>
      </c>
    </row>
    <row r="388" spans="1:11" hidden="1">
      <c r="A388">
        <v>1</v>
      </c>
      <c r="B388" t="s">
        <v>43</v>
      </c>
      <c r="C388">
        <v>3</v>
      </c>
      <c r="D388" t="s">
        <v>53</v>
      </c>
      <c r="E388">
        <v>3</v>
      </c>
      <c r="F388" t="s">
        <v>88</v>
      </c>
      <c r="G388">
        <f>356</f>
        <v>356</v>
      </c>
      <c r="H388" s="33">
        <f>375*1.0694-50-50</f>
        <v>301.02499999999998</v>
      </c>
      <c r="I388">
        <f>70</f>
        <v>70</v>
      </c>
      <c r="J388" s="32">
        <f>Table1[[#This Row],[Target]]/Table1[[#This Row],[Price]]</f>
        <v>59.140471512770134</v>
      </c>
      <c r="K388">
        <v>5.09</v>
      </c>
    </row>
    <row r="389" spans="1:11" hidden="1">
      <c r="A389">
        <v>1</v>
      </c>
      <c r="B389" t="s">
        <v>44</v>
      </c>
      <c r="C389">
        <v>1</v>
      </c>
      <c r="D389" t="s">
        <v>51</v>
      </c>
      <c r="E389">
        <v>1</v>
      </c>
      <c r="F389" t="s">
        <v>69</v>
      </c>
      <c r="G389">
        <f>322</f>
        <v>322</v>
      </c>
      <c r="H389" s="33">
        <f>300*0.351</f>
        <v>105.3</v>
      </c>
      <c r="I389">
        <f>180</f>
        <v>180</v>
      </c>
      <c r="J389" s="32">
        <f>Table1[[#This Row],[Target]]/Table1[[#This Row],[Price]]</f>
        <v>58.826815642458101</v>
      </c>
      <c r="K389" s="14">
        <v>1.79</v>
      </c>
    </row>
    <row r="390" spans="1:11" hidden="1">
      <c r="A390">
        <v>1</v>
      </c>
      <c r="B390" t="s">
        <v>44</v>
      </c>
      <c r="C390">
        <v>1</v>
      </c>
      <c r="D390" t="s">
        <v>51</v>
      </c>
      <c r="E390">
        <v>2</v>
      </c>
      <c r="F390" t="s">
        <v>121</v>
      </c>
      <c r="G390">
        <f>399</f>
        <v>399</v>
      </c>
      <c r="H390" s="33">
        <f>380*0.351</f>
        <v>133.38</v>
      </c>
      <c r="I390">
        <f>100</f>
        <v>100</v>
      </c>
      <c r="J390" s="32">
        <f>Table1[[#This Row],[Target]]/Table1[[#This Row],[Price]]</f>
        <v>33.428571428571423</v>
      </c>
      <c r="K390">
        <v>3.99</v>
      </c>
    </row>
    <row r="391" spans="1:11">
      <c r="A391">
        <v>1</v>
      </c>
      <c r="B391" t="s">
        <v>44</v>
      </c>
      <c r="C391">
        <v>1</v>
      </c>
      <c r="D391" t="s">
        <v>51</v>
      </c>
      <c r="E391">
        <v>3</v>
      </c>
      <c r="F391" t="s">
        <v>122</v>
      </c>
      <c r="G391">
        <f>143</f>
        <v>143</v>
      </c>
      <c r="H391" s="33">
        <f>170*0.351</f>
        <v>59.669999999999995</v>
      </c>
      <c r="I391">
        <f>85</f>
        <v>85</v>
      </c>
      <c r="J391" s="32">
        <f>Table1[[#This Row],[Target]]/Table1[[#This Row],[Price]]</f>
        <v>35.307692307692307</v>
      </c>
      <c r="K391">
        <v>1.69</v>
      </c>
    </row>
    <row r="392" spans="1:11" hidden="1">
      <c r="A392">
        <v>1</v>
      </c>
      <c r="B392" t="s">
        <v>44</v>
      </c>
      <c r="C392">
        <v>2</v>
      </c>
      <c r="D392" t="s">
        <v>52</v>
      </c>
      <c r="E392">
        <v>1</v>
      </c>
      <c r="F392" t="s">
        <v>78</v>
      </c>
      <c r="G392">
        <f>539</f>
        <v>539</v>
      </c>
      <c r="H392" s="33">
        <f>525*1.0736-50-50</f>
        <v>463.6400000000001</v>
      </c>
      <c r="I392">
        <f>90</f>
        <v>90</v>
      </c>
      <c r="J392" s="32">
        <f>Table1[[#This Row],[Target]]/Table1[[#This Row],[Price]]</f>
        <v>77.402337228714543</v>
      </c>
      <c r="K392">
        <v>5.99</v>
      </c>
    </row>
    <row r="393" spans="1:11" hidden="1">
      <c r="A393">
        <v>1</v>
      </c>
      <c r="B393" t="s">
        <v>44</v>
      </c>
      <c r="C393">
        <v>2</v>
      </c>
      <c r="D393" t="s">
        <v>52</v>
      </c>
      <c r="E393">
        <v>2</v>
      </c>
      <c r="F393" t="s">
        <v>79</v>
      </c>
      <c r="G393">
        <f>169</f>
        <v>169</v>
      </c>
      <c r="H393" s="33">
        <f>180*1.0736</f>
        <v>193.24800000000002</v>
      </c>
      <c r="I393">
        <f>85</f>
        <v>85</v>
      </c>
      <c r="J393" s="32">
        <f>Table1[[#This Row],[Target]]/Table1[[#This Row],[Price]]</f>
        <v>97.109547738693479</v>
      </c>
      <c r="K393">
        <v>1.99</v>
      </c>
    </row>
    <row r="394" spans="1:11" hidden="1">
      <c r="A394">
        <v>1</v>
      </c>
      <c r="B394" t="s">
        <v>44</v>
      </c>
      <c r="C394">
        <v>2</v>
      </c>
      <c r="D394" t="s">
        <v>52</v>
      </c>
      <c r="E394">
        <v>3</v>
      </c>
      <c r="F394" t="s">
        <v>80</v>
      </c>
      <c r="G394">
        <f>69</f>
        <v>69</v>
      </c>
      <c r="H394" s="33">
        <f>80*1.0736</f>
        <v>85.888000000000005</v>
      </c>
      <c r="I394">
        <f>70</f>
        <v>70</v>
      </c>
      <c r="J394" s="32">
        <f>Table1[[#This Row],[Target]]/Table1[[#This Row],[Price]]</f>
        <v>86.75555555555556</v>
      </c>
      <c r="K394">
        <v>0.99</v>
      </c>
    </row>
    <row r="395" spans="1:11" hidden="1">
      <c r="A395">
        <v>1</v>
      </c>
      <c r="B395" t="s">
        <v>44</v>
      </c>
      <c r="C395">
        <v>3</v>
      </c>
      <c r="D395" t="s">
        <v>53</v>
      </c>
      <c r="E395">
        <v>1</v>
      </c>
      <c r="F395" t="s">
        <v>111</v>
      </c>
      <c r="G395">
        <f>564</f>
        <v>564</v>
      </c>
      <c r="H395" s="33">
        <f>550*1.05</f>
        <v>577.5</v>
      </c>
      <c r="I395">
        <f>87</f>
        <v>87</v>
      </c>
      <c r="J395" s="32">
        <f>Table1[[#This Row],[Target]]/Table1[[#This Row],[Price]]</f>
        <v>88.983050847457619</v>
      </c>
      <c r="K395">
        <v>6.49</v>
      </c>
    </row>
    <row r="396" spans="1:11" hidden="1">
      <c r="A396">
        <v>1</v>
      </c>
      <c r="B396" t="s">
        <v>44</v>
      </c>
      <c r="C396">
        <v>3</v>
      </c>
      <c r="D396" t="s">
        <v>53</v>
      </c>
      <c r="E396">
        <v>2</v>
      </c>
      <c r="F396" t="s">
        <v>112</v>
      </c>
      <c r="G396">
        <f>319</f>
        <v>319</v>
      </c>
      <c r="H396" s="33">
        <f>345*1.05</f>
        <v>362.25</v>
      </c>
      <c r="I396">
        <f>80</f>
        <v>80</v>
      </c>
      <c r="J396" s="32">
        <f>Table1[[#This Row],[Target]]/Table1[[#This Row],[Price]]</f>
        <v>90.78947368421052</v>
      </c>
      <c r="K396">
        <v>3.99</v>
      </c>
    </row>
    <row r="397" spans="1:11" hidden="1">
      <c r="A397">
        <v>1</v>
      </c>
      <c r="B397" t="s">
        <v>44</v>
      </c>
      <c r="C397">
        <v>3</v>
      </c>
      <c r="D397" t="s">
        <v>53</v>
      </c>
      <c r="E397">
        <v>3</v>
      </c>
      <c r="F397" t="s">
        <v>88</v>
      </c>
      <c r="G397">
        <f>356</f>
        <v>356</v>
      </c>
      <c r="H397" s="33">
        <f>375*1.05-50</f>
        <v>343.75</v>
      </c>
      <c r="I397">
        <f>70</f>
        <v>70</v>
      </c>
      <c r="J397" s="32">
        <f>Table1[[#This Row],[Target]]/Table1[[#This Row],[Price]]</f>
        <v>67.534381139489199</v>
      </c>
      <c r="K397">
        <v>5.09</v>
      </c>
    </row>
    <row r="398" spans="1:11" hidden="1">
      <c r="A398">
        <v>1</v>
      </c>
      <c r="B398" t="s">
        <v>45</v>
      </c>
      <c r="C398">
        <v>1</v>
      </c>
      <c r="D398" t="s">
        <v>51</v>
      </c>
      <c r="E398">
        <v>1</v>
      </c>
      <c r="F398" t="s">
        <v>69</v>
      </c>
      <c r="G398">
        <f>322</f>
        <v>322</v>
      </c>
      <c r="H398" s="33">
        <f>300*1.09</f>
        <v>327</v>
      </c>
      <c r="I398">
        <f>180</f>
        <v>180</v>
      </c>
      <c r="J398" s="32">
        <f>Table1[[#This Row],[Target]]/Table1[[#This Row],[Price]]</f>
        <v>182.68156424581005</v>
      </c>
      <c r="K398" s="14">
        <v>1.79</v>
      </c>
    </row>
    <row r="399" spans="1:11" hidden="1">
      <c r="A399">
        <v>1</v>
      </c>
      <c r="B399" t="s">
        <v>45</v>
      </c>
      <c r="C399">
        <v>1</v>
      </c>
      <c r="D399" t="s">
        <v>51</v>
      </c>
      <c r="E399">
        <v>2</v>
      </c>
      <c r="F399" t="s">
        <v>121</v>
      </c>
      <c r="G399">
        <f>399</f>
        <v>399</v>
      </c>
      <c r="H399" s="33">
        <f>380*1.09-50</f>
        <v>364.20000000000005</v>
      </c>
      <c r="I399">
        <f>100</f>
        <v>100</v>
      </c>
      <c r="J399" s="32">
        <f>Table1[[#This Row],[Target]]/Table1[[#This Row],[Price]]</f>
        <v>91.278195488721806</v>
      </c>
      <c r="K399">
        <v>3.99</v>
      </c>
    </row>
    <row r="400" spans="1:11">
      <c r="A400">
        <v>1</v>
      </c>
      <c r="B400" t="s">
        <v>45</v>
      </c>
      <c r="C400">
        <v>1</v>
      </c>
      <c r="D400" t="s">
        <v>51</v>
      </c>
      <c r="E400">
        <v>3</v>
      </c>
      <c r="F400" t="s">
        <v>122</v>
      </c>
      <c r="G400">
        <f>143</f>
        <v>143</v>
      </c>
      <c r="H400" s="33">
        <f>170*1.09</f>
        <v>185.3</v>
      </c>
      <c r="I400">
        <f>85</f>
        <v>85</v>
      </c>
      <c r="J400" s="32">
        <f>Table1[[#This Row],[Target]]/Table1[[#This Row],[Price]]</f>
        <v>109.6449704142012</v>
      </c>
      <c r="K400">
        <v>1.69</v>
      </c>
    </row>
    <row r="401" spans="1:11" hidden="1">
      <c r="A401">
        <v>1</v>
      </c>
      <c r="B401" t="s">
        <v>45</v>
      </c>
      <c r="C401">
        <v>2</v>
      </c>
      <c r="D401" t="s">
        <v>52</v>
      </c>
      <c r="E401">
        <v>1</v>
      </c>
      <c r="F401" t="s">
        <v>78</v>
      </c>
      <c r="G401">
        <f>539</f>
        <v>539</v>
      </c>
      <c r="H401" s="33">
        <f>525*1.04-50</f>
        <v>496</v>
      </c>
      <c r="I401">
        <f>90</f>
        <v>90</v>
      </c>
      <c r="J401" s="32">
        <f>Table1[[#This Row],[Target]]/Table1[[#This Row],[Price]]</f>
        <v>82.804674457429044</v>
      </c>
      <c r="K401">
        <v>5.99</v>
      </c>
    </row>
    <row r="402" spans="1:11" hidden="1">
      <c r="A402">
        <v>1</v>
      </c>
      <c r="B402" t="s">
        <v>45</v>
      </c>
      <c r="C402">
        <v>2</v>
      </c>
      <c r="D402" t="s">
        <v>52</v>
      </c>
      <c r="E402">
        <v>2</v>
      </c>
      <c r="F402" t="s">
        <v>79</v>
      </c>
      <c r="G402">
        <f>169</f>
        <v>169</v>
      </c>
      <c r="H402" s="33">
        <f>180*1.04</f>
        <v>187.20000000000002</v>
      </c>
      <c r="I402">
        <f>85</f>
        <v>85</v>
      </c>
      <c r="J402" s="32">
        <f>Table1[[#This Row],[Target]]/Table1[[#This Row],[Price]]</f>
        <v>94.070351758793976</v>
      </c>
      <c r="K402">
        <v>1.99</v>
      </c>
    </row>
    <row r="403" spans="1:11" hidden="1">
      <c r="A403">
        <v>1</v>
      </c>
      <c r="B403" t="s">
        <v>45</v>
      </c>
      <c r="C403">
        <v>2</v>
      </c>
      <c r="D403" t="s">
        <v>52</v>
      </c>
      <c r="E403">
        <v>3</v>
      </c>
      <c r="F403" t="s">
        <v>80</v>
      </c>
      <c r="G403">
        <f>69</f>
        <v>69</v>
      </c>
      <c r="H403" s="33">
        <f>80*1.04</f>
        <v>83.2</v>
      </c>
      <c r="I403">
        <f>70</f>
        <v>70</v>
      </c>
      <c r="J403" s="32">
        <f>Table1[[#This Row],[Target]]/Table1[[#This Row],[Price]]</f>
        <v>84.040404040404042</v>
      </c>
      <c r="K403">
        <v>0.99</v>
      </c>
    </row>
    <row r="404" spans="1:11" hidden="1">
      <c r="A404">
        <v>1</v>
      </c>
      <c r="B404" t="s">
        <v>45</v>
      </c>
      <c r="C404">
        <v>3</v>
      </c>
      <c r="D404" t="s">
        <v>53</v>
      </c>
      <c r="E404">
        <v>1</v>
      </c>
      <c r="F404" t="s">
        <v>111</v>
      </c>
      <c r="G404">
        <f>564</f>
        <v>564</v>
      </c>
      <c r="H404" s="33">
        <f>550*1.05-50</f>
        <v>527.5</v>
      </c>
      <c r="I404">
        <f>87</f>
        <v>87</v>
      </c>
      <c r="J404" s="32">
        <f>Table1[[#This Row],[Target]]/Table1[[#This Row],[Price]]</f>
        <v>81.278890600924498</v>
      </c>
      <c r="K404">
        <v>6.49</v>
      </c>
    </row>
    <row r="405" spans="1:11" hidden="1">
      <c r="A405">
        <v>1</v>
      </c>
      <c r="B405" t="s">
        <v>45</v>
      </c>
      <c r="C405">
        <v>3</v>
      </c>
      <c r="D405" t="s">
        <v>53</v>
      </c>
      <c r="E405">
        <v>2</v>
      </c>
      <c r="F405" t="s">
        <v>112</v>
      </c>
      <c r="G405">
        <f>319</f>
        <v>319</v>
      </c>
      <c r="H405" s="33">
        <f>345*1.05-50</f>
        <v>312.25</v>
      </c>
      <c r="I405">
        <f>80</f>
        <v>80</v>
      </c>
      <c r="J405" s="32">
        <f>Table1[[#This Row],[Target]]/Table1[[#This Row],[Price]]</f>
        <v>78.258145363408516</v>
      </c>
      <c r="K405">
        <v>3.99</v>
      </c>
    </row>
    <row r="406" spans="1:11" hidden="1">
      <c r="A406">
        <v>1</v>
      </c>
      <c r="B406" t="s">
        <v>45</v>
      </c>
      <c r="C406">
        <v>3</v>
      </c>
      <c r="D406" t="s">
        <v>53</v>
      </c>
      <c r="E406">
        <v>3</v>
      </c>
      <c r="F406" t="s">
        <v>88</v>
      </c>
      <c r="G406">
        <f>356</f>
        <v>356</v>
      </c>
      <c r="H406" s="33">
        <f>375*1.05-44</f>
        <v>349.75</v>
      </c>
      <c r="I406">
        <f>70</f>
        <v>70</v>
      </c>
      <c r="J406" s="32">
        <f>Table1[[#This Row],[Target]]/Table1[[#This Row],[Price]]</f>
        <v>68.713163064833012</v>
      </c>
      <c r="K406">
        <v>5.09</v>
      </c>
    </row>
    <row r="407" spans="1:11" hidden="1">
      <c r="A407">
        <v>1</v>
      </c>
      <c r="B407" t="s">
        <v>46</v>
      </c>
      <c r="C407">
        <v>1</v>
      </c>
      <c r="D407" t="s">
        <v>51</v>
      </c>
      <c r="E407">
        <v>1</v>
      </c>
      <c r="F407" t="s">
        <v>69</v>
      </c>
      <c r="G407">
        <f>322</f>
        <v>322</v>
      </c>
      <c r="H407" s="33">
        <f>300*1.0408</f>
        <v>312.24</v>
      </c>
      <c r="I407">
        <f>180</f>
        <v>180</v>
      </c>
      <c r="J407" s="32">
        <f>Table1[[#This Row],[Target]]/Table1[[#This Row],[Price]]</f>
        <v>174.43575418994413</v>
      </c>
      <c r="K407" s="14">
        <v>1.79</v>
      </c>
    </row>
    <row r="408" spans="1:11" hidden="1">
      <c r="A408">
        <v>1</v>
      </c>
      <c r="B408" t="s">
        <v>46</v>
      </c>
      <c r="C408">
        <v>1</v>
      </c>
      <c r="D408" t="s">
        <v>51</v>
      </c>
      <c r="E408">
        <v>2</v>
      </c>
      <c r="F408" t="s">
        <v>121</v>
      </c>
      <c r="G408">
        <f>399</f>
        <v>399</v>
      </c>
      <c r="H408" s="33">
        <f>380*1.0408</f>
        <v>395.50399999999996</v>
      </c>
      <c r="I408">
        <f>100</f>
        <v>100</v>
      </c>
      <c r="J408" s="32">
        <f>Table1[[#This Row],[Target]]/Table1[[#This Row],[Price]]</f>
        <v>99.123809523809513</v>
      </c>
      <c r="K408">
        <v>3.99</v>
      </c>
    </row>
    <row r="409" spans="1:11">
      <c r="A409">
        <v>1</v>
      </c>
      <c r="B409" t="s">
        <v>46</v>
      </c>
      <c r="C409">
        <v>1</v>
      </c>
      <c r="D409" t="s">
        <v>51</v>
      </c>
      <c r="E409">
        <v>3</v>
      </c>
      <c r="F409" t="s">
        <v>122</v>
      </c>
      <c r="G409">
        <f>143</f>
        <v>143</v>
      </c>
      <c r="H409" s="33">
        <f>170*1.0408-44-44</f>
        <v>88.935999999999979</v>
      </c>
      <c r="I409">
        <f>85</f>
        <v>85</v>
      </c>
      <c r="J409" s="32">
        <f>Table1[[#This Row],[Target]]/Table1[[#This Row],[Price]]</f>
        <v>52.624852071005904</v>
      </c>
      <c r="K409">
        <v>1.69</v>
      </c>
    </row>
    <row r="410" spans="1:11" hidden="1">
      <c r="A410">
        <v>1</v>
      </c>
      <c r="B410" t="s">
        <v>46</v>
      </c>
      <c r="C410">
        <v>2</v>
      </c>
      <c r="D410" t="s">
        <v>52</v>
      </c>
      <c r="E410">
        <v>1</v>
      </c>
      <c r="F410" t="s">
        <v>78</v>
      </c>
      <c r="G410">
        <f>539</f>
        <v>539</v>
      </c>
      <c r="H410" s="33">
        <f>525*1.0947-44</f>
        <v>530.71749999999997</v>
      </c>
      <c r="I410">
        <f>90</f>
        <v>90</v>
      </c>
      <c r="J410" s="32">
        <f>Table1[[#This Row],[Target]]/Table1[[#This Row],[Price]]</f>
        <v>88.600584307178622</v>
      </c>
      <c r="K410">
        <v>5.99</v>
      </c>
    </row>
    <row r="411" spans="1:11" hidden="1">
      <c r="A411">
        <v>1</v>
      </c>
      <c r="B411" t="s">
        <v>46</v>
      </c>
      <c r="C411">
        <v>2</v>
      </c>
      <c r="D411" t="s">
        <v>52</v>
      </c>
      <c r="E411">
        <v>2</v>
      </c>
      <c r="F411" t="s">
        <v>79</v>
      </c>
      <c r="G411">
        <f>169</f>
        <v>169</v>
      </c>
      <c r="H411" s="33">
        <f>180*1.0947-44</f>
        <v>153.04599999999999</v>
      </c>
      <c r="I411">
        <f>85</f>
        <v>85</v>
      </c>
      <c r="J411" s="32">
        <f>Table1[[#This Row],[Target]]/Table1[[#This Row],[Price]]</f>
        <v>76.907537688442204</v>
      </c>
      <c r="K411">
        <v>1.99</v>
      </c>
    </row>
    <row r="412" spans="1:11" hidden="1">
      <c r="A412">
        <v>1</v>
      </c>
      <c r="B412" t="s">
        <v>46</v>
      </c>
      <c r="C412">
        <v>2</v>
      </c>
      <c r="D412" t="s">
        <v>52</v>
      </c>
      <c r="E412">
        <v>3</v>
      </c>
      <c r="F412" t="s">
        <v>80</v>
      </c>
      <c r="G412">
        <f>69</f>
        <v>69</v>
      </c>
      <c r="H412" s="33">
        <f>80*1.0947</f>
        <v>87.575999999999993</v>
      </c>
      <c r="I412">
        <f>70</f>
        <v>70</v>
      </c>
      <c r="J412" s="32">
        <f>Table1[[#This Row],[Target]]/Table1[[#This Row],[Price]]</f>
        <v>88.460606060606054</v>
      </c>
      <c r="K412">
        <v>0.99</v>
      </c>
    </row>
    <row r="413" spans="1:11" hidden="1">
      <c r="A413">
        <v>1</v>
      </c>
      <c r="B413" t="s">
        <v>46</v>
      </c>
      <c r="C413">
        <v>3</v>
      </c>
      <c r="D413" t="s">
        <v>53</v>
      </c>
      <c r="E413">
        <v>1</v>
      </c>
      <c r="F413" t="s">
        <v>111</v>
      </c>
      <c r="G413">
        <f>564</f>
        <v>564</v>
      </c>
      <c r="H413" s="33">
        <f>550*1.0416-44</f>
        <v>528.88</v>
      </c>
      <c r="I413">
        <f>87</f>
        <v>87</v>
      </c>
      <c r="J413" s="32">
        <f>Table1[[#This Row],[Target]]/Table1[[#This Row],[Price]]</f>
        <v>81.491525423728817</v>
      </c>
      <c r="K413">
        <v>6.49</v>
      </c>
    </row>
    <row r="414" spans="1:11" hidden="1">
      <c r="A414">
        <v>1</v>
      </c>
      <c r="B414" t="s">
        <v>46</v>
      </c>
      <c r="C414">
        <v>3</v>
      </c>
      <c r="D414" t="s">
        <v>53</v>
      </c>
      <c r="E414">
        <v>2</v>
      </c>
      <c r="F414" t="s">
        <v>112</v>
      </c>
      <c r="G414">
        <f>319</f>
        <v>319</v>
      </c>
      <c r="H414" s="33">
        <f>345*1.0416-44-44</f>
        <v>271.35200000000003</v>
      </c>
      <c r="I414">
        <f>80</f>
        <v>80</v>
      </c>
      <c r="J414" s="32">
        <f>Table1[[#This Row],[Target]]/Table1[[#This Row],[Price]]</f>
        <v>68.008020050125324</v>
      </c>
      <c r="K414">
        <v>3.99</v>
      </c>
    </row>
    <row r="415" spans="1:11" hidden="1">
      <c r="A415">
        <v>1</v>
      </c>
      <c r="B415" t="s">
        <v>46</v>
      </c>
      <c r="C415">
        <v>3</v>
      </c>
      <c r="D415" t="s">
        <v>53</v>
      </c>
      <c r="E415">
        <v>3</v>
      </c>
      <c r="F415" t="s">
        <v>88</v>
      </c>
      <c r="G415">
        <f>356</f>
        <v>356</v>
      </c>
      <c r="H415" s="33">
        <f>375*1.0416-44</f>
        <v>346.6</v>
      </c>
      <c r="I415">
        <f>70</f>
        <v>70</v>
      </c>
      <c r="J415" s="32">
        <f>Table1[[#This Row],[Target]]/Table1[[#This Row],[Price]]</f>
        <v>68.094302554027507</v>
      </c>
      <c r="K415">
        <v>5.09</v>
      </c>
    </row>
    <row r="416" spans="1:11" hidden="1">
      <c r="A416">
        <v>1</v>
      </c>
      <c r="B416" t="s">
        <v>47</v>
      </c>
      <c r="C416">
        <v>1</v>
      </c>
      <c r="D416" t="s">
        <v>51</v>
      </c>
      <c r="E416">
        <v>1</v>
      </c>
      <c r="F416" t="s">
        <v>69</v>
      </c>
      <c r="G416">
        <f>322</f>
        <v>322</v>
      </c>
      <c r="H416" s="33">
        <f>300*1.031</f>
        <v>309.29999999999995</v>
      </c>
      <c r="I416">
        <f>180</f>
        <v>180</v>
      </c>
      <c r="J416" s="32">
        <f>Table1[[#This Row],[Target]]/Table1[[#This Row],[Price]]</f>
        <v>172.79329608938545</v>
      </c>
      <c r="K416" s="14">
        <v>1.79</v>
      </c>
    </row>
    <row r="417" spans="1:11" hidden="1">
      <c r="A417">
        <v>1</v>
      </c>
      <c r="B417" t="s">
        <v>47</v>
      </c>
      <c r="C417">
        <v>1</v>
      </c>
      <c r="D417" t="s">
        <v>51</v>
      </c>
      <c r="E417">
        <v>2</v>
      </c>
      <c r="F417" t="s">
        <v>121</v>
      </c>
      <c r="G417">
        <f>399</f>
        <v>399</v>
      </c>
      <c r="H417" s="33">
        <f>380*1.031</f>
        <v>391.78</v>
      </c>
      <c r="I417">
        <f>100</f>
        <v>100</v>
      </c>
      <c r="J417" s="32">
        <f>Table1[[#This Row],[Target]]/Table1[[#This Row],[Price]]</f>
        <v>98.190476190476176</v>
      </c>
      <c r="K417">
        <v>3.99</v>
      </c>
    </row>
    <row r="418" spans="1:11">
      <c r="A418">
        <v>1</v>
      </c>
      <c r="B418" t="s">
        <v>47</v>
      </c>
      <c r="C418">
        <v>1</v>
      </c>
      <c r="D418" t="s">
        <v>51</v>
      </c>
      <c r="E418">
        <v>3</v>
      </c>
      <c r="F418" t="s">
        <v>122</v>
      </c>
      <c r="G418">
        <f>143</f>
        <v>143</v>
      </c>
      <c r="H418" s="33">
        <f>170*1.031</f>
        <v>175.26999999999998</v>
      </c>
      <c r="I418">
        <f>85</f>
        <v>85</v>
      </c>
      <c r="J418" s="32">
        <f>Table1[[#This Row],[Target]]/Table1[[#This Row],[Price]]</f>
        <v>103.71005917159762</v>
      </c>
      <c r="K418">
        <v>1.69</v>
      </c>
    </row>
    <row r="419" spans="1:11" hidden="1">
      <c r="A419">
        <v>1</v>
      </c>
      <c r="B419" t="s">
        <v>47</v>
      </c>
      <c r="C419">
        <v>2</v>
      </c>
      <c r="D419" t="s">
        <v>52</v>
      </c>
      <c r="E419">
        <v>1</v>
      </c>
      <c r="F419" t="s">
        <v>78</v>
      </c>
      <c r="G419">
        <f>539</f>
        <v>539</v>
      </c>
      <c r="H419" s="33">
        <f>525*1.0675</f>
        <v>560.4375</v>
      </c>
      <c r="I419">
        <f>90</f>
        <v>90</v>
      </c>
      <c r="J419" s="32">
        <f>Table1[[#This Row],[Target]]/Table1[[#This Row],[Price]]</f>
        <v>93.562186978297163</v>
      </c>
      <c r="K419">
        <v>5.99</v>
      </c>
    </row>
    <row r="420" spans="1:11" hidden="1">
      <c r="A420">
        <v>1</v>
      </c>
      <c r="B420" t="s">
        <v>47</v>
      </c>
      <c r="C420">
        <v>2</v>
      </c>
      <c r="D420" t="s">
        <v>52</v>
      </c>
      <c r="E420">
        <v>2</v>
      </c>
      <c r="F420" t="s">
        <v>79</v>
      </c>
      <c r="G420">
        <f>169</f>
        <v>169</v>
      </c>
      <c r="H420" s="33">
        <f>180*1.0675-44</f>
        <v>148.14999999999998</v>
      </c>
      <c r="I420">
        <f>85</f>
        <v>85</v>
      </c>
      <c r="J420" s="32">
        <f>Table1[[#This Row],[Target]]/Table1[[#This Row],[Price]]</f>
        <v>74.447236180904511</v>
      </c>
      <c r="K420">
        <v>1.99</v>
      </c>
    </row>
    <row r="421" spans="1:11" hidden="1">
      <c r="A421">
        <v>1</v>
      </c>
      <c r="B421" t="s">
        <v>47</v>
      </c>
      <c r="C421">
        <v>2</v>
      </c>
      <c r="D421" t="s">
        <v>52</v>
      </c>
      <c r="E421">
        <v>3</v>
      </c>
      <c r="F421" t="s">
        <v>80</v>
      </c>
      <c r="G421">
        <f>69</f>
        <v>69</v>
      </c>
      <c r="H421" s="33">
        <f>80*1.0675</f>
        <v>85.399999999999991</v>
      </c>
      <c r="I421">
        <f>70</f>
        <v>70</v>
      </c>
      <c r="J421" s="32">
        <f>Table1[[#This Row],[Target]]/Table1[[#This Row],[Price]]</f>
        <v>86.262626262626256</v>
      </c>
      <c r="K421">
        <v>0.99</v>
      </c>
    </row>
    <row r="422" spans="1:11" hidden="1">
      <c r="A422">
        <v>1</v>
      </c>
      <c r="B422" t="s">
        <v>47</v>
      </c>
      <c r="C422">
        <v>3</v>
      </c>
      <c r="D422" t="s">
        <v>53</v>
      </c>
      <c r="E422">
        <v>1</v>
      </c>
      <c r="F422" t="s">
        <v>111</v>
      </c>
      <c r="G422">
        <f>564</f>
        <v>564</v>
      </c>
      <c r="H422" s="33">
        <f>550*0.826</f>
        <v>454.29999999999995</v>
      </c>
      <c r="I422">
        <f>87</f>
        <v>87</v>
      </c>
      <c r="J422" s="32">
        <f>Table1[[#This Row],[Target]]/Table1[[#This Row],[Price]]</f>
        <v>69.999999999999986</v>
      </c>
      <c r="K422">
        <v>6.49</v>
      </c>
    </row>
    <row r="423" spans="1:11" hidden="1">
      <c r="A423">
        <v>1</v>
      </c>
      <c r="B423" t="s">
        <v>47</v>
      </c>
      <c r="C423">
        <v>3</v>
      </c>
      <c r="D423" t="s">
        <v>53</v>
      </c>
      <c r="E423">
        <v>2</v>
      </c>
      <c r="F423" t="s">
        <v>112</v>
      </c>
      <c r="G423">
        <f>319</f>
        <v>319</v>
      </c>
      <c r="H423" s="33">
        <f>345*0.826</f>
        <v>284.96999999999997</v>
      </c>
      <c r="I423">
        <f>80</f>
        <v>80</v>
      </c>
      <c r="J423" s="32">
        <f>Table1[[#This Row],[Target]]/Table1[[#This Row],[Price]]</f>
        <v>71.421052631578931</v>
      </c>
      <c r="K423">
        <v>3.99</v>
      </c>
    </row>
    <row r="424" spans="1:11" hidden="1">
      <c r="A424">
        <v>1</v>
      </c>
      <c r="B424" t="s">
        <v>47</v>
      </c>
      <c r="C424">
        <v>3</v>
      </c>
      <c r="D424" t="s">
        <v>53</v>
      </c>
      <c r="E424">
        <v>3</v>
      </c>
      <c r="F424" t="s">
        <v>88</v>
      </c>
      <c r="G424">
        <f>356</f>
        <v>356</v>
      </c>
      <c r="H424" s="33">
        <f>375*0.826</f>
        <v>309.75</v>
      </c>
      <c r="I424">
        <f>70</f>
        <v>70</v>
      </c>
      <c r="J424" s="32">
        <f>Table1[[#This Row],[Target]]/Table1[[#This Row],[Price]]</f>
        <v>60.854616895874265</v>
      </c>
      <c r="K424">
        <v>5.09</v>
      </c>
    </row>
    <row r="425" spans="1:11" hidden="1">
      <c r="A425">
        <v>1</v>
      </c>
      <c r="B425" t="s">
        <v>48</v>
      </c>
      <c r="C425">
        <v>1</v>
      </c>
      <c r="D425" t="s">
        <v>51</v>
      </c>
      <c r="E425">
        <v>1</v>
      </c>
      <c r="F425" t="s">
        <v>69</v>
      </c>
      <c r="G425">
        <f>322</f>
        <v>322</v>
      </c>
      <c r="H425" s="33">
        <f>300*1.0319-44</f>
        <v>265.57</v>
      </c>
      <c r="I425">
        <f>180</f>
        <v>180</v>
      </c>
      <c r="J425" s="32">
        <f>Table1[[#This Row],[Target]]/Table1[[#This Row],[Price]]</f>
        <v>148.3631284916201</v>
      </c>
      <c r="K425" s="14">
        <v>1.79</v>
      </c>
    </row>
    <row r="426" spans="1:11" hidden="1">
      <c r="A426">
        <v>1</v>
      </c>
      <c r="B426" t="s">
        <v>48</v>
      </c>
      <c r="C426">
        <v>1</v>
      </c>
      <c r="D426" t="s">
        <v>51</v>
      </c>
      <c r="E426">
        <v>2</v>
      </c>
      <c r="F426" t="s">
        <v>121</v>
      </c>
      <c r="G426">
        <f>399</f>
        <v>399</v>
      </c>
      <c r="H426" s="33">
        <f>380*1.0319-44</f>
        <v>348.12200000000001</v>
      </c>
      <c r="I426">
        <f>100</f>
        <v>100</v>
      </c>
      <c r="J426" s="32">
        <f>Table1[[#This Row],[Target]]/Table1[[#This Row],[Price]]</f>
        <v>87.248621553884718</v>
      </c>
      <c r="K426">
        <v>3.99</v>
      </c>
    </row>
    <row r="427" spans="1:11">
      <c r="A427">
        <v>1</v>
      </c>
      <c r="B427" t="s">
        <v>48</v>
      </c>
      <c r="C427">
        <v>1</v>
      </c>
      <c r="D427" t="s">
        <v>51</v>
      </c>
      <c r="E427">
        <v>3</v>
      </c>
      <c r="F427" t="s">
        <v>122</v>
      </c>
      <c r="G427">
        <f>143</f>
        <v>143</v>
      </c>
      <c r="H427" s="33">
        <f>170*1.0319-44</f>
        <v>131.423</v>
      </c>
      <c r="I427">
        <f>85</f>
        <v>85</v>
      </c>
      <c r="J427" s="32">
        <f>Table1[[#This Row],[Target]]/Table1[[#This Row],[Price]]</f>
        <v>77.765088757396455</v>
      </c>
      <c r="K427">
        <v>1.69</v>
      </c>
    </row>
    <row r="428" spans="1:11" hidden="1">
      <c r="A428">
        <v>1</v>
      </c>
      <c r="B428" t="s">
        <v>48</v>
      </c>
      <c r="C428">
        <v>2</v>
      </c>
      <c r="D428" t="s">
        <v>52</v>
      </c>
      <c r="E428">
        <v>1</v>
      </c>
      <c r="F428" t="s">
        <v>78</v>
      </c>
      <c r="G428">
        <f>539</f>
        <v>539</v>
      </c>
      <c r="H428" s="33">
        <f>525*1.0596-44</f>
        <v>512.29000000000008</v>
      </c>
      <c r="I428">
        <f>90</f>
        <v>90</v>
      </c>
      <c r="J428" s="32">
        <f>Table1[[#This Row],[Target]]/Table1[[#This Row],[Price]]</f>
        <v>85.524207011686158</v>
      </c>
      <c r="K428">
        <v>5.99</v>
      </c>
    </row>
    <row r="429" spans="1:11" hidden="1">
      <c r="A429">
        <v>1</v>
      </c>
      <c r="B429" t="s">
        <v>48</v>
      </c>
      <c r="C429">
        <v>2</v>
      </c>
      <c r="D429" t="s">
        <v>52</v>
      </c>
      <c r="E429">
        <v>2</v>
      </c>
      <c r="F429" t="s">
        <v>79</v>
      </c>
      <c r="G429">
        <f>169</f>
        <v>169</v>
      </c>
      <c r="H429" s="33">
        <f>180*1.0596-44</f>
        <v>146.72800000000001</v>
      </c>
      <c r="I429">
        <f>85</f>
        <v>85</v>
      </c>
      <c r="J429" s="32">
        <f>Table1[[#This Row],[Target]]/Table1[[#This Row],[Price]]</f>
        <v>73.732663316582915</v>
      </c>
      <c r="K429">
        <v>1.99</v>
      </c>
    </row>
    <row r="430" spans="1:11" hidden="1">
      <c r="A430">
        <v>1</v>
      </c>
      <c r="B430" t="s">
        <v>48</v>
      </c>
      <c r="C430">
        <v>2</v>
      </c>
      <c r="D430" t="s">
        <v>52</v>
      </c>
      <c r="E430">
        <v>3</v>
      </c>
      <c r="F430" t="s">
        <v>80</v>
      </c>
      <c r="G430">
        <f>69</f>
        <v>69</v>
      </c>
      <c r="H430" s="33">
        <f>80*1.0596</f>
        <v>84.768000000000001</v>
      </c>
      <c r="I430">
        <f>70</f>
        <v>70</v>
      </c>
      <c r="J430" s="32">
        <f>Table1[[#This Row],[Target]]/Table1[[#This Row],[Price]]</f>
        <v>85.624242424242425</v>
      </c>
      <c r="K430">
        <v>0.99</v>
      </c>
    </row>
    <row r="431" spans="1:11" hidden="1">
      <c r="A431">
        <v>1</v>
      </c>
      <c r="B431" t="s">
        <v>48</v>
      </c>
      <c r="C431">
        <v>3</v>
      </c>
      <c r="D431" t="s">
        <v>53</v>
      </c>
      <c r="E431">
        <v>1</v>
      </c>
      <c r="F431" t="s">
        <v>111</v>
      </c>
      <c r="G431">
        <f>564</f>
        <v>564</v>
      </c>
      <c r="H431" s="33">
        <f>550*1.0416-44</f>
        <v>528.88</v>
      </c>
      <c r="I431">
        <f>87</f>
        <v>87</v>
      </c>
      <c r="J431" s="32">
        <f>Table1[[#This Row],[Target]]/Table1[[#This Row],[Price]]</f>
        <v>81.491525423728817</v>
      </c>
      <c r="K431">
        <v>6.49</v>
      </c>
    </row>
    <row r="432" spans="1:11" hidden="1">
      <c r="A432">
        <v>1</v>
      </c>
      <c r="B432" t="s">
        <v>48</v>
      </c>
      <c r="C432">
        <v>3</v>
      </c>
      <c r="D432" t="s">
        <v>53</v>
      </c>
      <c r="E432">
        <v>2</v>
      </c>
      <c r="F432" t="s">
        <v>112</v>
      </c>
      <c r="G432">
        <f>319</f>
        <v>319</v>
      </c>
      <c r="H432" s="33">
        <f>345*1.0416-44</f>
        <v>315.35200000000003</v>
      </c>
      <c r="I432">
        <f>80</f>
        <v>80</v>
      </c>
      <c r="J432" s="32">
        <f>Table1[[#This Row],[Target]]/Table1[[#This Row],[Price]]</f>
        <v>79.035588972431086</v>
      </c>
      <c r="K432">
        <v>3.99</v>
      </c>
    </row>
    <row r="433" spans="1:11" hidden="1">
      <c r="A433">
        <v>1</v>
      </c>
      <c r="B433" t="s">
        <v>48</v>
      </c>
      <c r="C433">
        <v>3</v>
      </c>
      <c r="D433" t="s">
        <v>53</v>
      </c>
      <c r="E433">
        <v>3</v>
      </c>
      <c r="F433" t="s">
        <v>88</v>
      </c>
      <c r="G433">
        <f>356</f>
        <v>356</v>
      </c>
      <c r="H433" s="33">
        <f>375*1.0416-44-44</f>
        <v>302.60000000000002</v>
      </c>
      <c r="I433">
        <f>70</f>
        <v>70</v>
      </c>
      <c r="J433" s="32">
        <f>Table1[[#This Row],[Target]]/Table1[[#This Row],[Price]]</f>
        <v>59.449901768172893</v>
      </c>
      <c r="K433">
        <v>5.09</v>
      </c>
    </row>
    <row r="434" spans="1:11" hidden="1">
      <c r="A434">
        <v>1</v>
      </c>
      <c r="B434" t="s">
        <v>49</v>
      </c>
      <c r="C434">
        <v>1</v>
      </c>
      <c r="D434" t="s">
        <v>51</v>
      </c>
      <c r="E434">
        <v>1</v>
      </c>
      <c r="F434" t="s">
        <v>69</v>
      </c>
      <c r="G434">
        <f>322</f>
        <v>322</v>
      </c>
      <c r="H434" s="33">
        <f>300*1.079</f>
        <v>323.7</v>
      </c>
      <c r="I434">
        <f>180</f>
        <v>180</v>
      </c>
      <c r="J434" s="32">
        <f>Table1[[#This Row],[Target]]/Table1[[#This Row],[Price]]</f>
        <v>180.83798882681563</v>
      </c>
      <c r="K434" s="14">
        <v>1.79</v>
      </c>
    </row>
    <row r="435" spans="1:11" hidden="1">
      <c r="A435">
        <v>1</v>
      </c>
      <c r="B435" t="s">
        <v>49</v>
      </c>
      <c r="C435">
        <v>1</v>
      </c>
      <c r="D435" t="s">
        <v>51</v>
      </c>
      <c r="E435">
        <v>2</v>
      </c>
      <c r="F435" t="s">
        <v>121</v>
      </c>
      <c r="G435">
        <f>399</f>
        <v>399</v>
      </c>
      <c r="H435" s="33">
        <f>380*1.079-44</f>
        <v>366.02</v>
      </c>
      <c r="I435">
        <f>100</f>
        <v>100</v>
      </c>
      <c r="J435" s="32">
        <f>Table1[[#This Row],[Target]]/Table1[[#This Row],[Price]]</f>
        <v>91.734335839598984</v>
      </c>
      <c r="K435">
        <v>3.99</v>
      </c>
    </row>
    <row r="436" spans="1:11">
      <c r="A436">
        <v>1</v>
      </c>
      <c r="B436" t="s">
        <v>49</v>
      </c>
      <c r="C436">
        <v>1</v>
      </c>
      <c r="D436" t="s">
        <v>51</v>
      </c>
      <c r="E436">
        <v>3</v>
      </c>
      <c r="F436" t="s">
        <v>122</v>
      </c>
      <c r="G436">
        <f>143</f>
        <v>143</v>
      </c>
      <c r="H436" s="33">
        <f>170*1.079</f>
        <v>183.43</v>
      </c>
      <c r="I436">
        <f>85</f>
        <v>85</v>
      </c>
      <c r="J436" s="32">
        <f>Table1[[#This Row],[Target]]/Table1[[#This Row],[Price]]</f>
        <v>108.53846153846155</v>
      </c>
      <c r="K436">
        <v>1.69</v>
      </c>
    </row>
    <row r="437" spans="1:11" hidden="1">
      <c r="A437">
        <v>1</v>
      </c>
      <c r="B437" t="s">
        <v>49</v>
      </c>
      <c r="C437">
        <v>2</v>
      </c>
      <c r="D437" t="s">
        <v>52</v>
      </c>
      <c r="E437">
        <v>1</v>
      </c>
      <c r="F437" t="s">
        <v>78</v>
      </c>
      <c r="G437">
        <f>539</f>
        <v>539</v>
      </c>
      <c r="H437" s="33">
        <f>525*0.491-44</f>
        <v>213.77499999999998</v>
      </c>
      <c r="I437">
        <f>90</f>
        <v>90</v>
      </c>
      <c r="J437" s="32">
        <f>Table1[[#This Row],[Target]]/Table1[[#This Row],[Price]]</f>
        <v>35.688647746243731</v>
      </c>
      <c r="K437">
        <v>5.99</v>
      </c>
    </row>
    <row r="438" spans="1:11" hidden="1">
      <c r="A438">
        <v>1</v>
      </c>
      <c r="B438" t="s">
        <v>49</v>
      </c>
      <c r="C438">
        <v>2</v>
      </c>
      <c r="D438" t="s">
        <v>52</v>
      </c>
      <c r="E438">
        <v>2</v>
      </c>
      <c r="F438" t="s">
        <v>79</v>
      </c>
      <c r="G438">
        <f>169</f>
        <v>169</v>
      </c>
      <c r="H438" s="33">
        <f>180*0.491</f>
        <v>88.38</v>
      </c>
      <c r="I438">
        <f>85</f>
        <v>85</v>
      </c>
      <c r="J438" s="32">
        <f>Table1[[#This Row],[Target]]/Table1[[#This Row],[Price]]</f>
        <v>44.412060301507537</v>
      </c>
      <c r="K438">
        <v>1.99</v>
      </c>
    </row>
    <row r="439" spans="1:11" hidden="1">
      <c r="A439">
        <v>1</v>
      </c>
      <c r="B439" t="s">
        <v>49</v>
      </c>
      <c r="C439">
        <v>2</v>
      </c>
      <c r="D439" t="s">
        <v>52</v>
      </c>
      <c r="E439">
        <v>3</v>
      </c>
      <c r="F439" t="s">
        <v>80</v>
      </c>
      <c r="G439">
        <f>69</f>
        <v>69</v>
      </c>
      <c r="H439" s="33">
        <f>80*0.491</f>
        <v>39.28</v>
      </c>
      <c r="I439">
        <f>70</f>
        <v>70</v>
      </c>
      <c r="J439" s="32">
        <f>Table1[[#This Row],[Target]]/Table1[[#This Row],[Price]]</f>
        <v>39.676767676767682</v>
      </c>
      <c r="K439">
        <v>0.99</v>
      </c>
    </row>
    <row r="440" spans="1:11" hidden="1">
      <c r="A440">
        <v>1</v>
      </c>
      <c r="B440" t="s">
        <v>49</v>
      </c>
      <c r="C440">
        <v>3</v>
      </c>
      <c r="D440" t="s">
        <v>53</v>
      </c>
      <c r="E440">
        <v>1</v>
      </c>
      <c r="F440" t="s">
        <v>111</v>
      </c>
      <c r="G440">
        <f>564</f>
        <v>564</v>
      </c>
      <c r="H440" s="33">
        <f>550*1.0798-44</f>
        <v>549.8900000000001</v>
      </c>
      <c r="I440">
        <f>87</f>
        <v>87</v>
      </c>
      <c r="J440" s="32">
        <f>Table1[[#This Row],[Target]]/Table1[[#This Row],[Price]]</f>
        <v>84.728813559322049</v>
      </c>
      <c r="K440">
        <v>6.49</v>
      </c>
    </row>
    <row r="441" spans="1:11" hidden="1">
      <c r="A441">
        <v>1</v>
      </c>
      <c r="B441" t="s">
        <v>49</v>
      </c>
      <c r="C441">
        <v>3</v>
      </c>
      <c r="D441" t="s">
        <v>53</v>
      </c>
      <c r="E441">
        <v>2</v>
      </c>
      <c r="F441" t="s">
        <v>112</v>
      </c>
      <c r="G441">
        <f>319</f>
        <v>319</v>
      </c>
      <c r="H441" s="33">
        <f>345*1.0798-44</f>
        <v>328.53100000000001</v>
      </c>
      <c r="I441">
        <f>80</f>
        <v>80</v>
      </c>
      <c r="J441" s="32">
        <f>Table1[[#This Row],[Target]]/Table1[[#This Row],[Price]]</f>
        <v>82.338596491228074</v>
      </c>
      <c r="K441">
        <v>3.99</v>
      </c>
    </row>
    <row r="442" spans="1:11" hidden="1">
      <c r="A442">
        <v>1</v>
      </c>
      <c r="B442" t="s">
        <v>49</v>
      </c>
      <c r="C442">
        <v>3</v>
      </c>
      <c r="D442" t="s">
        <v>53</v>
      </c>
      <c r="E442">
        <v>3</v>
      </c>
      <c r="F442" t="s">
        <v>88</v>
      </c>
      <c r="G442">
        <f>356</f>
        <v>356</v>
      </c>
      <c r="H442" s="33">
        <f>375*1.0798-44-44</f>
        <v>316.92500000000001</v>
      </c>
      <c r="I442">
        <f>70</f>
        <v>70</v>
      </c>
      <c r="J442" s="32">
        <f>Table1[[#This Row],[Target]]/Table1[[#This Row],[Price]]</f>
        <v>62.264243614931239</v>
      </c>
      <c r="K442">
        <v>5.09</v>
      </c>
    </row>
    <row r="443" spans="1:11" hidden="1">
      <c r="A443">
        <v>1</v>
      </c>
      <c r="B443" t="s">
        <v>50</v>
      </c>
      <c r="C443">
        <v>1</v>
      </c>
      <c r="D443" t="s">
        <v>51</v>
      </c>
      <c r="E443">
        <v>1</v>
      </c>
      <c r="F443" t="s">
        <v>69</v>
      </c>
      <c r="G443">
        <f>322</f>
        <v>322</v>
      </c>
      <c r="H443" s="33">
        <f>300*1.101</f>
        <v>330.3</v>
      </c>
      <c r="I443">
        <f>180</f>
        <v>180</v>
      </c>
      <c r="J443" s="32">
        <f>Table1[[#This Row],[Target]]/Table1[[#This Row],[Price]]</f>
        <v>184.52513966480447</v>
      </c>
      <c r="K443" s="14">
        <v>1.79</v>
      </c>
    </row>
    <row r="444" spans="1:11" hidden="1">
      <c r="A444">
        <v>1</v>
      </c>
      <c r="B444" t="s">
        <v>50</v>
      </c>
      <c r="C444">
        <v>1</v>
      </c>
      <c r="D444" t="s">
        <v>51</v>
      </c>
      <c r="E444">
        <v>2</v>
      </c>
      <c r="F444" t="s">
        <v>121</v>
      </c>
      <c r="G444">
        <f>399</f>
        <v>399</v>
      </c>
      <c r="H444" s="33">
        <f>380*1.101</f>
        <v>418.38</v>
      </c>
      <c r="I444">
        <f>100</f>
        <v>100</v>
      </c>
      <c r="J444" s="32">
        <f>Table1[[#This Row],[Target]]/Table1[[#This Row],[Price]]</f>
        <v>104.85714285714285</v>
      </c>
      <c r="K444">
        <v>3.99</v>
      </c>
    </row>
    <row r="445" spans="1:11">
      <c r="A445">
        <v>1</v>
      </c>
      <c r="B445" t="s">
        <v>50</v>
      </c>
      <c r="C445">
        <v>1</v>
      </c>
      <c r="D445" t="s">
        <v>51</v>
      </c>
      <c r="E445">
        <v>3</v>
      </c>
      <c r="F445" t="s">
        <v>122</v>
      </c>
      <c r="G445">
        <f>143</f>
        <v>143</v>
      </c>
      <c r="H445" s="33">
        <f>170*1.101-44</f>
        <v>143.16999999999999</v>
      </c>
      <c r="I445">
        <f>85</f>
        <v>85</v>
      </c>
      <c r="J445" s="32">
        <f>Table1[[#This Row],[Target]]/Table1[[#This Row],[Price]]</f>
        <v>84.715976331360949</v>
      </c>
      <c r="K445">
        <v>1.69</v>
      </c>
    </row>
    <row r="446" spans="1:11" hidden="1">
      <c r="A446">
        <v>1</v>
      </c>
      <c r="B446" t="s">
        <v>50</v>
      </c>
      <c r="C446">
        <v>2</v>
      </c>
      <c r="D446" t="s">
        <v>52</v>
      </c>
      <c r="E446">
        <v>1</v>
      </c>
      <c r="F446" t="s">
        <v>78</v>
      </c>
      <c r="G446">
        <f>539</f>
        <v>539</v>
      </c>
      <c r="H446" s="33">
        <f>525*1.122-44-44</f>
        <v>501.05000000000007</v>
      </c>
      <c r="I446">
        <f>90</f>
        <v>90</v>
      </c>
      <c r="J446" s="32">
        <f>Table1[[#This Row],[Target]]/Table1[[#This Row],[Price]]</f>
        <v>83.647746243739576</v>
      </c>
      <c r="K446">
        <v>5.99</v>
      </c>
    </row>
    <row r="447" spans="1:11" hidden="1">
      <c r="A447">
        <v>1</v>
      </c>
      <c r="B447" t="s">
        <v>50</v>
      </c>
      <c r="C447">
        <v>2</v>
      </c>
      <c r="D447" t="s">
        <v>52</v>
      </c>
      <c r="E447">
        <v>2</v>
      </c>
      <c r="F447" t="s">
        <v>79</v>
      </c>
      <c r="G447">
        <f>169</f>
        <v>169</v>
      </c>
      <c r="H447" s="33">
        <f>180*1.122-44</f>
        <v>157.96</v>
      </c>
      <c r="I447">
        <f>85</f>
        <v>85</v>
      </c>
      <c r="J447" s="32">
        <f>Table1[[#This Row],[Target]]/Table1[[#This Row],[Price]]</f>
        <v>79.376884422110564</v>
      </c>
      <c r="K447">
        <v>1.99</v>
      </c>
    </row>
    <row r="448" spans="1:11" hidden="1">
      <c r="A448">
        <v>1</v>
      </c>
      <c r="B448" t="s">
        <v>50</v>
      </c>
      <c r="C448">
        <v>2</v>
      </c>
      <c r="D448" t="s">
        <v>52</v>
      </c>
      <c r="E448">
        <v>3</v>
      </c>
      <c r="F448" t="s">
        <v>80</v>
      </c>
      <c r="G448">
        <f>69</f>
        <v>69</v>
      </c>
      <c r="H448" s="33">
        <f>80*1.122</f>
        <v>89.76</v>
      </c>
      <c r="I448">
        <f>70</f>
        <v>70</v>
      </c>
      <c r="J448" s="32">
        <f>Table1[[#This Row],[Target]]/Table1[[#This Row],[Price]]</f>
        <v>90.666666666666671</v>
      </c>
      <c r="K448">
        <v>0.99</v>
      </c>
    </row>
    <row r="449" spans="1:11" hidden="1">
      <c r="A449">
        <v>1</v>
      </c>
      <c r="B449" t="s">
        <v>50</v>
      </c>
      <c r="C449">
        <v>3</v>
      </c>
      <c r="D449" t="s">
        <v>53</v>
      </c>
      <c r="E449">
        <v>1</v>
      </c>
      <c r="F449" t="s">
        <v>111</v>
      </c>
      <c r="G449">
        <f>564</f>
        <v>564</v>
      </c>
      <c r="H449" s="33">
        <f>550*1.125</f>
        <v>618.75</v>
      </c>
      <c r="I449">
        <f>87</f>
        <v>87</v>
      </c>
      <c r="J449" s="32">
        <f>Table1[[#This Row],[Target]]/Table1[[#This Row],[Price]]</f>
        <v>95.33898305084746</v>
      </c>
      <c r="K449">
        <v>6.49</v>
      </c>
    </row>
    <row r="450" spans="1:11" hidden="1">
      <c r="A450">
        <v>1</v>
      </c>
      <c r="B450" t="s">
        <v>50</v>
      </c>
      <c r="C450">
        <v>3</v>
      </c>
      <c r="D450" t="s">
        <v>53</v>
      </c>
      <c r="E450">
        <v>2</v>
      </c>
      <c r="F450" t="s">
        <v>112</v>
      </c>
      <c r="G450">
        <f>319</f>
        <v>319</v>
      </c>
      <c r="H450" s="33">
        <f>345*1.125-44-44</f>
        <v>300.125</v>
      </c>
      <c r="I450">
        <f>80</f>
        <v>80</v>
      </c>
      <c r="J450" s="32">
        <f>Table1[[#This Row],[Target]]/Table1[[#This Row],[Price]]</f>
        <v>75.219298245614027</v>
      </c>
      <c r="K450">
        <v>3.99</v>
      </c>
    </row>
    <row r="451" spans="1:11" hidden="1">
      <c r="A451">
        <v>1</v>
      </c>
      <c r="B451" t="s">
        <v>50</v>
      </c>
      <c r="C451">
        <v>3</v>
      </c>
      <c r="D451" t="s">
        <v>53</v>
      </c>
      <c r="E451">
        <v>3</v>
      </c>
      <c r="F451" t="s">
        <v>88</v>
      </c>
      <c r="G451">
        <f>356</f>
        <v>356</v>
      </c>
      <c r="H451" s="33">
        <f>375*1.125-44-44</f>
        <v>333.875</v>
      </c>
      <c r="I451">
        <f>70</f>
        <v>70</v>
      </c>
      <c r="J451" s="32">
        <f>Table1[[#This Row],[Target]]/Table1[[#This Row],[Price]]</f>
        <v>65.594302554027507</v>
      </c>
      <c r="K451">
        <v>5.09</v>
      </c>
    </row>
  </sheetData>
  <pageMargins left="0.7" right="0.7" top="0.75" bottom="0.75" header="0.3" footer="0.3"/>
  <pageSetup paperSize="9" orientation="portrait" r:id="rId1"/>
  <ignoredErrors>
    <ignoredError sqref="I338 I5 I14 I23 I32" formula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Products</vt:lpstr>
      <vt:lpstr>SalesbyMonth</vt:lpstr>
      <vt:lpstr>RestaurantbyState</vt:lpstr>
      <vt:lpstr>TargetSales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2021-07-13T03:18:42Z</dcterms:modified>
</cp:coreProperties>
</file>